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pivotTables/pivotTable7.xml" ContentType="application/vnd.openxmlformats-officedocument.spreadsheetml.pivotTable+xml"/>
  <Override PartName="/xl/pivotTables/pivotTable8.xml" ContentType="application/vnd.openxmlformats-officedocument.spreadsheetml.pivotTable+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128"/>
  <workbookPr defaultThemeVersion="124226"/>
  <mc:AlternateContent xmlns:mc="http://schemas.openxmlformats.org/markup-compatibility/2006">
    <mc:Choice Requires="x15">
      <x15ac:absPath xmlns:x15ac="http://schemas.microsoft.com/office/spreadsheetml/2010/11/ac" url="C:\Users\Chris\Dropbox\My Books\DADM 5e\Problem Solutions\Chapter 03\"/>
    </mc:Choice>
  </mc:AlternateContent>
  <bookViews>
    <workbookView xWindow="0" yWindow="0" windowWidth="21570" windowHeight="9450" activeTab="1"/>
  </bookViews>
  <sheets>
    <sheet name="Source" sheetId="2" r:id="rId1"/>
    <sheet name="Data" sheetId="1" r:id="rId2"/>
    <sheet name="_STDS_DG27C875B7" sheetId="3" state="hidden" r:id="rId3"/>
    <sheet name="Correlation Wins" sheetId="4" r:id="rId4"/>
    <sheet name="Correlation Salaries" sheetId="5" r:id="rId5"/>
    <sheet name="Scatterplot" sheetId="8" r:id="rId6"/>
    <sheet name="Pivot Tables" sheetId="7" r:id="rId7"/>
  </sheets>
  <definedNames>
    <definedName name="PalisadeReportWorksheetCreatedBy" localSheetId="4" hidden="1">"StatTools"</definedName>
    <definedName name="PalisadeReportWorksheetCreatedBy" localSheetId="3" hidden="1">"StatTools"</definedName>
    <definedName name="PalisadeReportWorksheetCreatedBy" localSheetId="5" hidden="1">"StatTools"</definedName>
    <definedName name="ScatterX_33B00">_xll.StatScatterPlot([0]!ST_Salary2008,[0]!ST_Wins2008,0)</definedName>
    <definedName name="ScatterX_3EFB9" localSheetId="5">_xll.StatScatterPlot([0]!ST_Salary2005,[0]!ST_Wins2005,0)</definedName>
    <definedName name="ScatterX_4530" localSheetId="5">_xll.StatScatterPlot([0]!ST_Salary2007,[0]!ST_Wins2007,0)</definedName>
    <definedName name="ScatterX_55AC6" localSheetId="5">_xll.StatScatterPlot([0]!ST_Salary2008,[0]!ST_Wins2008,0)</definedName>
    <definedName name="ScatterX_590B7" localSheetId="5">_xll.StatScatterPlot([0]!ST_Salary2002,[0]!ST_Wins2002,0)</definedName>
    <definedName name="ScatterX_5B0E7">_xll.StatScatterPlot([0]!ST_Salary2003,[0]!ST_Wins2003,0)</definedName>
    <definedName name="ScatterX_5B18F">_xll.StatScatterPlot([0]!ST_Salary2004,[0]!ST_Wins2004,0)</definedName>
    <definedName name="ScatterX_6BE7E" localSheetId="5">_xll.StatScatterPlot([0]!ST_Salary2009,[0]!ST_Wins2009,0)</definedName>
    <definedName name="ScatterX_7A0FE">_xll.StatScatterPlot([0]!ST_Salary2007,[0]!ST_Wins2007,0)</definedName>
    <definedName name="ScatterX_7C484">_xll.StatScatterPlot([0]!ST_Salary2005,[0]!ST_Wins2005,0)</definedName>
    <definedName name="ScatterX_8E894">_xll.StatScatterPlot([0]!ST_Salary2002,[0]!ST_Wins2002,0)</definedName>
    <definedName name="ScatterX_90CA4">_xll.StatScatterPlot([0]!ST_Salary2009,[0]!ST_Wins2009,0)</definedName>
    <definedName name="ScatterX_91DCE" localSheetId="5">_xll.StatScatterPlot([0]!ST_Salary2003,[0]!ST_Wins2003,0)</definedName>
    <definedName name="ScatterX_B0CB4">_xll.StatScatterPlot([0]!ST_Salary2003,[0]!ST_Wins2003,0)</definedName>
    <definedName name="ScatterX_B6519" localSheetId="5">_xll.StatScatterPlot([0]!ST_Salary2006,[0]!ST_Wins2006,0)</definedName>
    <definedName name="ScatterX_E9E53">_xll.StatScatterPlot([0]!ST_Salary2006,[0]!ST_Wins2006,0)</definedName>
    <definedName name="ScatterX_EBF6" localSheetId="5">_xll.StatScatterPlot([0]!ST_Salary2004,[0]!ST_Wins2004,0)</definedName>
    <definedName name="ScatterY_33B00">_xll.StatScatterPlot([0]!ST_Salary2008,[0]!ST_Wins2008,1)</definedName>
    <definedName name="ScatterY_3EFB9" localSheetId="5">_xll.StatScatterPlot([0]!ST_Salary2005,[0]!ST_Wins2005,1)</definedName>
    <definedName name="ScatterY_4530" localSheetId="5">_xll.StatScatterPlot([0]!ST_Salary2007,[0]!ST_Wins2007,1)</definedName>
    <definedName name="ScatterY_55AC6" localSheetId="5">_xll.StatScatterPlot([0]!ST_Salary2008,[0]!ST_Wins2008,1)</definedName>
    <definedName name="ScatterY_590B7" localSheetId="5">_xll.StatScatterPlot([0]!ST_Salary2002,[0]!ST_Wins2002,1)</definedName>
    <definedName name="ScatterY_5B0E7">_xll.StatScatterPlot([0]!ST_Salary2003,[0]!ST_Wins2003,1)</definedName>
    <definedName name="ScatterY_5B18F">_xll.StatScatterPlot([0]!ST_Salary2004,[0]!ST_Wins2004,1)</definedName>
    <definedName name="ScatterY_6BE7E" localSheetId="5">_xll.StatScatterPlot([0]!ST_Salary2009,[0]!ST_Wins2009,1)</definedName>
    <definedName name="ScatterY_7A0FE">_xll.StatScatterPlot([0]!ST_Salary2007,[0]!ST_Wins2007,1)</definedName>
    <definedName name="ScatterY_7C484">_xll.StatScatterPlot([0]!ST_Salary2005,[0]!ST_Wins2005,1)</definedName>
    <definedName name="ScatterY_8E894">_xll.StatScatterPlot([0]!ST_Salary2002,[0]!ST_Wins2002,1)</definedName>
    <definedName name="ScatterY_90CA4">_xll.StatScatterPlot([0]!ST_Salary2009,[0]!ST_Wins2009,1)</definedName>
    <definedName name="ScatterY_91DCE" localSheetId="5">_xll.StatScatterPlot([0]!ST_Salary2003,[0]!ST_Wins2003,1)</definedName>
    <definedName name="ScatterY_B0CB4">_xll.StatScatterPlot([0]!ST_Salary2003,[0]!ST_Wins2003,1)</definedName>
    <definedName name="ScatterY_B6519" localSheetId="5">_xll.StatScatterPlot([0]!ST_Salary2006,[0]!ST_Wins2006,1)</definedName>
    <definedName name="ScatterY_E9E53">_xll.StatScatterPlot([0]!ST_Salary2006,[0]!ST_Wins2006,1)</definedName>
    <definedName name="ScatterY_EBF6" localSheetId="5">_xll.StatScatterPlot([0]!ST_Salary2004,[0]!ST_Wins2004,1)</definedName>
    <definedName name="ST_Salary2002">Data!$B$2:$B$33</definedName>
    <definedName name="ST_Salary2003">Data!$C$2:$C$33</definedName>
    <definedName name="ST_Salary2004">Data!$D$2:$D$33</definedName>
    <definedName name="ST_Salary2005">Data!$E$2:$E$33</definedName>
    <definedName name="ST_Salary2006">Data!$F$2:$F$33</definedName>
    <definedName name="ST_Salary2007">Data!$G$2:$G$33</definedName>
    <definedName name="ST_Salary2008">Data!$H$2:$H$33</definedName>
    <definedName name="ST_Salary2009">Data!$I$2:$I$33</definedName>
    <definedName name="ST_Team">Data!$A$2:$A$33</definedName>
    <definedName name="ST_Wins2002">Data!$J$2:$J$33</definedName>
    <definedName name="ST_Wins2003">Data!$K$2:$K$33</definedName>
    <definedName name="ST_Wins2004">Data!$L$2:$L$33</definedName>
    <definedName name="ST_Wins2005">Data!$M$2:$M$33</definedName>
    <definedName name="ST_Wins2006">Data!$N$2:$N$33</definedName>
    <definedName name="ST_Wins2007">Data!$O$2:$O$33</definedName>
    <definedName name="ST_Wins2008">Data!$P$2:$P$33</definedName>
    <definedName name="ST_Wins2009">Data!$Q$2:$Q$33</definedName>
    <definedName name="standings?year_season_2002" localSheetId="1">Data!#REF!</definedName>
    <definedName name="standings?year_season_2007" localSheetId="1">Data!#REF!</definedName>
    <definedName name="standings?year_season_2008" localSheetId="1">Data!#REF!</definedName>
    <definedName name="StatToolsHeader" localSheetId="4">'Correlation Salaries'!$1:$5</definedName>
    <definedName name="StatToolsHeader" localSheetId="3">'Correlation Wins'!$1:$5</definedName>
    <definedName name="StatToolsHeader" localSheetId="5">Scatterplot!$1:$5</definedName>
    <definedName name="STWBD_StatToolsCorrAndCovar_CorrelationTable" hidden="1">"TRUE"</definedName>
    <definedName name="STWBD_StatToolsCorrAndCovar_CovarianceTable" hidden="1">"FALSE"</definedName>
    <definedName name="STWBD_StatToolsCorrAndCovar_HasDefaultInfo" hidden="1">"TRUE"</definedName>
    <definedName name="STWBD_StatToolsCorrAndCovar_TableStructure" hidden="1">" 2"</definedName>
    <definedName name="STWBD_StatToolsCorrAndCovar_VariableList" hidden="1">8</definedName>
    <definedName name="STWBD_StatToolsCorrAndCovar_VariableList_1" hidden="1">"U_x0001_VGF7C8299223F9295_x0001_"</definedName>
    <definedName name="STWBD_StatToolsCorrAndCovar_VariableList_2" hidden="1">"U_x0001_VGD0EDAA91B38B7B3_x0001_"</definedName>
    <definedName name="STWBD_StatToolsCorrAndCovar_VariableList_3" hidden="1">"U_x0001_VG18EB72A1388B9815_x0001_"</definedName>
    <definedName name="STWBD_StatToolsCorrAndCovar_VariableList_4" hidden="1">"U_x0001_VG2FB223DD32DB077A_x0001_"</definedName>
    <definedName name="STWBD_StatToolsCorrAndCovar_VariableList_5" hidden="1">"U_x0001_VG38239A42ECF9C80_x0001_"</definedName>
    <definedName name="STWBD_StatToolsCorrAndCovar_VariableList_6" hidden="1">"U_x0001_VGFADCAC22F71B6D6_x0001_"</definedName>
    <definedName name="STWBD_StatToolsCorrAndCovar_VariableList_7" hidden="1">"U_x0001_VG1D01FFEB3AA11316_x0001_"</definedName>
    <definedName name="STWBD_StatToolsCorrAndCovar_VariableList_8" hidden="1">"U_x0001_VG1C33AF38D774A_x0001_"</definedName>
    <definedName name="STWBD_StatToolsCorrAndCovar_VarSelectorDefaultDataSet" hidden="1">"DG27C875B7"</definedName>
    <definedName name="STWBD_StatToolsScatterplot_DisplayCorrelationCoefficient" hidden="1">"TRUE"</definedName>
    <definedName name="STWBD_StatToolsScatterplot_HasDefaultInfo" hidden="1">"TRUE"</definedName>
    <definedName name="STWBD_StatToolsScatterplot_ScatterplotChartType" hidden="1">" 0"</definedName>
    <definedName name="STWBD_StatToolsScatterplot_VarSelectorDefaultDataSet" hidden="1">"DG27C875B7"</definedName>
    <definedName name="STWBD_StatToolsScatterplot_XVariableList" hidden="1">1</definedName>
    <definedName name="STWBD_StatToolsScatterplot_XVariableList_1" hidden="1">"U_x0001_VG1C33AF38D774A_x0001_"</definedName>
    <definedName name="STWBD_StatToolsScatterplot_YVariableList" hidden="1">1</definedName>
    <definedName name="STWBD_StatToolsScatterplot_YVariableList_1" hidden="1">"U_x0001_VG252693F2AC008D9_x0001_"</definedName>
  </definedNames>
  <calcPr calcId="152511"/>
  <pivotCaches>
    <pivotCache cacheId="26" r:id="rId8"/>
  </pivotCaches>
</workbook>
</file>

<file path=xl/calcChain.xml><?xml version="1.0" encoding="utf-8"?>
<calcChain xmlns="http://schemas.openxmlformats.org/spreadsheetml/2006/main">
  <c r="B9" i="3" l="1"/>
  <c r="B61" i="3"/>
  <c r="B58" i="3"/>
  <c r="B55" i="3"/>
  <c r="B52" i="3"/>
  <c r="B49" i="3"/>
  <c r="B46" i="3"/>
  <c r="B43" i="3"/>
  <c r="B40" i="3"/>
  <c r="B37" i="3"/>
  <c r="B34" i="3"/>
  <c r="B31" i="3"/>
  <c r="B28" i="3"/>
  <c r="B25" i="3"/>
  <c r="B22" i="3"/>
  <c r="B19" i="3"/>
  <c r="B16" i="3"/>
  <c r="B13" i="3"/>
  <c r="B7" i="3"/>
  <c r="B3" i="3"/>
  <c r="S24" i="8"/>
  <c r="B10" i="5"/>
  <c r="F16" i="5"/>
  <c r="B14" i="5"/>
  <c r="D12" i="5"/>
  <c r="C14" i="4"/>
  <c r="C15" i="4"/>
  <c r="E13" i="4"/>
  <c r="C16" i="4"/>
  <c r="G24" i="8"/>
  <c r="C13" i="5"/>
  <c r="G16" i="4"/>
  <c r="B16" i="5"/>
  <c r="E15" i="4"/>
  <c r="C12" i="5"/>
  <c r="S43" i="8"/>
  <c r="B13" i="4"/>
  <c r="F15" i="5"/>
  <c r="E14" i="5"/>
  <c r="F16" i="4"/>
  <c r="M24" i="8"/>
  <c r="E16" i="4"/>
  <c r="E13" i="5"/>
  <c r="D16" i="5"/>
  <c r="D41" i="7"/>
  <c r="E15" i="5"/>
  <c r="D35" i="7"/>
  <c r="C11" i="5"/>
  <c r="B12" i="4"/>
  <c r="D12" i="4"/>
  <c r="G15" i="4"/>
  <c r="C16" i="5"/>
  <c r="G15" i="5"/>
  <c r="B14" i="4"/>
  <c r="B24" i="8"/>
  <c r="H16" i="5"/>
  <c r="C12" i="4"/>
  <c r="B13" i="5"/>
  <c r="D16" i="4"/>
  <c r="C15" i="5"/>
  <c r="E14" i="4"/>
  <c r="D29" i="7"/>
  <c r="D15" i="4"/>
  <c r="C11" i="4"/>
  <c r="D13" i="4"/>
  <c r="D15" i="5"/>
  <c r="H16" i="4"/>
  <c r="F14" i="5"/>
  <c r="M43" i="8"/>
  <c r="B15" i="5"/>
  <c r="B10" i="4"/>
  <c r="B11" i="4"/>
  <c r="B15" i="4"/>
  <c r="B12" i="5"/>
  <c r="C14" i="5"/>
  <c r="B11" i="5"/>
  <c r="B16" i="4"/>
  <c r="G43" i="8"/>
  <c r="C13" i="4"/>
  <c r="D11" i="7"/>
  <c r="D5" i="7"/>
  <c r="D47" i="7"/>
  <c r="F14" i="4"/>
  <c r="F15" i="4"/>
  <c r="D14" i="4"/>
  <c r="D17" i="7"/>
  <c r="B43" i="8"/>
  <c r="D23" i="7"/>
  <c r="D14" i="5"/>
  <c r="G16" i="5"/>
  <c r="E16" i="5"/>
  <c r="D13" i="5"/>
</calcChain>
</file>

<file path=xl/comments1.xml><?xml version="1.0" encoding="utf-8"?>
<comments xmlns="http://schemas.openxmlformats.org/spreadsheetml/2006/main">
  <authors>
    <author xml:space="preserve"> Chris Albright</author>
  </authors>
  <commentList>
    <comment ref="J3" authorId="0" shapeId="0">
      <text>
        <r>
          <rPr>
            <b/>
            <sz val="8"/>
            <color indexed="81"/>
            <rFont val="Tahoma"/>
            <family val="2"/>
          </rPr>
          <t>Half a point means the game ended in a tie.</t>
        </r>
        <r>
          <rPr>
            <sz val="8"/>
            <color indexed="81"/>
            <rFont val="Tahoma"/>
            <family val="2"/>
          </rPr>
          <t xml:space="preserve">
</t>
        </r>
      </text>
    </comment>
  </commentList>
</comments>
</file>

<file path=xl/sharedStrings.xml><?xml version="1.0" encoding="utf-8"?>
<sst xmlns="http://schemas.openxmlformats.org/spreadsheetml/2006/main" count="569" uniqueCount="213">
  <si>
    <t>Team</t>
  </si>
  <si>
    <t>Arizona Cardinals</t>
  </si>
  <si>
    <t>Atlanta Falcons</t>
  </si>
  <si>
    <t>Baltimore Ravens</t>
  </si>
  <si>
    <t>Buffalo Bills</t>
  </si>
  <si>
    <t>Carolina Panthers</t>
  </si>
  <si>
    <t>Chicago Bears</t>
  </si>
  <si>
    <t>Cincinnati Bengals</t>
  </si>
  <si>
    <t>Cleveland Browns</t>
  </si>
  <si>
    <t>Dallas Cowboys</t>
  </si>
  <si>
    <t>Denver Broncos</t>
  </si>
  <si>
    <t>Detroit Lions</t>
  </si>
  <si>
    <t>Green Bay Packers</t>
  </si>
  <si>
    <t>Houston Texans</t>
  </si>
  <si>
    <t>Indianapolis Colts</t>
  </si>
  <si>
    <t>Jacksonville Jaguars</t>
  </si>
  <si>
    <t>Kansas City Chiefs</t>
  </si>
  <si>
    <t>Miami Dolphins</t>
  </si>
  <si>
    <t>Minnesota Vikings</t>
  </si>
  <si>
    <t>New England Patriots</t>
  </si>
  <si>
    <t>New Orleans Saints</t>
  </si>
  <si>
    <t>New York Giants</t>
  </si>
  <si>
    <t>New York Jets</t>
  </si>
  <si>
    <t>Oakland Raiders</t>
  </si>
  <si>
    <t>Philadelphia Eagles</t>
  </si>
  <si>
    <t>Pittsburgh Steelers</t>
  </si>
  <si>
    <t>San Diego Chargers</t>
  </si>
  <si>
    <t>San Francisco 49ers</t>
  </si>
  <si>
    <t>Seattle Seahawks</t>
  </si>
  <si>
    <t>St. Louis Rams</t>
  </si>
  <si>
    <t>Tampa Bay Buccaneers</t>
  </si>
  <si>
    <t>Tennessee Titans</t>
  </si>
  <si>
    <t>Washington Redskins</t>
  </si>
  <si>
    <t>Salary 2002</t>
  </si>
  <si>
    <t>Salary 2003</t>
  </si>
  <si>
    <t>Salary 2004</t>
  </si>
  <si>
    <t>Salary 2005</t>
  </si>
  <si>
    <t>Salary 2006</t>
  </si>
  <si>
    <t>Salary 2007</t>
  </si>
  <si>
    <t>Salary 2008</t>
  </si>
  <si>
    <t>Salary 2009</t>
  </si>
  <si>
    <t>Wins 2002</t>
  </si>
  <si>
    <t>Wins 2003</t>
  </si>
  <si>
    <t>Wins 2004</t>
  </si>
  <si>
    <t>Wins 2005</t>
  </si>
  <si>
    <t>Wins 2006</t>
  </si>
  <si>
    <t>Wins 2007</t>
  </si>
  <si>
    <t>Wins 2008</t>
  </si>
  <si>
    <t>Wins 2009</t>
  </si>
  <si>
    <t>Coloring key</t>
  </si>
  <si>
    <t>Playoff team</t>
  </si>
  <si>
    <t>SuperBowl team</t>
  </si>
  <si>
    <t>SuperBowl winner</t>
  </si>
  <si>
    <t>StatTools Version that generated sheet, Major</t>
  </si>
  <si>
    <t>StatTools Version that generated sheet, Minor</t>
  </si>
  <si>
    <t>StatTools Version that generated sheet, Revision</t>
  </si>
  <si>
    <t>Min. StatTools Version to Read Sheet, Major (note ST versions before 1.1.1 don't perform forward compatibility check)</t>
  </si>
  <si>
    <t>Min. StatTools Version to Read Sheet, Minor</t>
  </si>
  <si>
    <t>Min. StatTools Version to Read Sheet, Revision</t>
  </si>
  <si>
    <t>Min. StatTools version to not put up warning about extra info, Major</t>
  </si>
  <si>
    <t>Min. StatTools version to not put up warning about extra info, Minor</t>
  </si>
  <si>
    <t>Min. StatTools version to not put up warning about extra info, Revision</t>
  </si>
  <si>
    <t>Name</t>
  </si>
  <si>
    <t>Data Set #1</t>
  </si>
  <si>
    <t>GUID</t>
  </si>
  <si>
    <t>DG27C875B7</t>
  </si>
  <si>
    <t>Format Range</t>
  </si>
  <si>
    <t>Variable Layout</t>
  </si>
  <si>
    <t>Columns</t>
  </si>
  <si>
    <t>Variable Names In Cells</t>
  </si>
  <si>
    <t>Variable Names In 2nd Cells</t>
  </si>
  <si>
    <t>Data Set Ranges</t>
  </si>
  <si>
    <t>Data Sheet Format</t>
  </si>
  <si>
    <t>Formula Eval Cell</t>
  </si>
  <si>
    <t>Num Stored Vars</t>
  </si>
  <si>
    <t>1 : Info</t>
  </si>
  <si>
    <t>VG3846DC5F137F0B8</t>
  </si>
  <si>
    <t>var1</t>
  </si>
  <si>
    <t>ST_Team</t>
  </si>
  <si>
    <t>1 : Ranges</t>
  </si>
  <si>
    <t>1 : MultiRefs</t>
  </si>
  <si>
    <t>2 : Info</t>
  </si>
  <si>
    <t>VGF7C8299223F9295</t>
  </si>
  <si>
    <t>var2</t>
  </si>
  <si>
    <t>ST_Salary2002</t>
  </si>
  <si>
    <t>2 : Ranges</t>
  </si>
  <si>
    <t>2 : MultiRefs</t>
  </si>
  <si>
    <t>3 : Info</t>
  </si>
  <si>
    <t>VGD0EDAA91B38B7B3</t>
  </si>
  <si>
    <t>var3</t>
  </si>
  <si>
    <t>ST_Salary2003</t>
  </si>
  <si>
    <t>3 : Ranges</t>
  </si>
  <si>
    <t>3 : MultiRefs</t>
  </si>
  <si>
    <t>4 : Info</t>
  </si>
  <si>
    <t>VG18EB72A1388B9815</t>
  </si>
  <si>
    <t>var4</t>
  </si>
  <si>
    <t>ST_Salary2004</t>
  </si>
  <si>
    <t>4 : Ranges</t>
  </si>
  <si>
    <t>4 : MultiRefs</t>
  </si>
  <si>
    <t>5 : Info</t>
  </si>
  <si>
    <t>VG2FB223DD32DB077A</t>
  </si>
  <si>
    <t>var5</t>
  </si>
  <si>
    <t>ST_Salary2005</t>
  </si>
  <si>
    <t>5 : Ranges</t>
  </si>
  <si>
    <t>5 : MultiRefs</t>
  </si>
  <si>
    <t>6 : Info</t>
  </si>
  <si>
    <t>VG38239A42ECF9C80</t>
  </si>
  <si>
    <t>var6</t>
  </si>
  <si>
    <t>ST_Salary2006</t>
  </si>
  <si>
    <t>6 : Ranges</t>
  </si>
  <si>
    <t>6 : MultiRefs</t>
  </si>
  <si>
    <t>7 : Info</t>
  </si>
  <si>
    <t>VGFADCAC22F71B6D6</t>
  </si>
  <si>
    <t>var7</t>
  </si>
  <si>
    <t>ST_Salary2007</t>
  </si>
  <si>
    <t>7 : Ranges</t>
  </si>
  <si>
    <t>7 : MultiRefs</t>
  </si>
  <si>
    <t>8 : Info</t>
  </si>
  <si>
    <t>VG1D01FFEB3AA11316</t>
  </si>
  <si>
    <t>var8</t>
  </si>
  <si>
    <t>ST_Salary2008</t>
  </si>
  <si>
    <t>8 : Ranges</t>
  </si>
  <si>
    <t>8 : MultiRefs</t>
  </si>
  <si>
    <t>9 : Info</t>
  </si>
  <si>
    <t>VG1C33AF38D774A</t>
  </si>
  <si>
    <t>var9</t>
  </si>
  <si>
    <t>ST_Salary2009</t>
  </si>
  <si>
    <t>9 : Ranges</t>
  </si>
  <si>
    <t>9 : MultiRefs</t>
  </si>
  <si>
    <t>10 : Info</t>
  </si>
  <si>
    <t>VG24BCC98D2471C1B9</t>
  </si>
  <si>
    <t>var10</t>
  </si>
  <si>
    <t>ST_Wins2002</t>
  </si>
  <si>
    <t>10 : Ranges</t>
  </si>
  <si>
    <t>10 : MultiRefs</t>
  </si>
  <si>
    <t>11 : Info</t>
  </si>
  <si>
    <t>VG2F0A693C29FADFFF</t>
  </si>
  <si>
    <t>var11</t>
  </si>
  <si>
    <t>ST_Wins2003</t>
  </si>
  <si>
    <t>11 : Ranges</t>
  </si>
  <si>
    <t>11 : MultiRefs</t>
  </si>
  <si>
    <t>12 : Info</t>
  </si>
  <si>
    <t>VG2FC203B0191BEF10</t>
  </si>
  <si>
    <t>var12</t>
  </si>
  <si>
    <t>ST_Wins2004</t>
  </si>
  <si>
    <t>12 : Ranges</t>
  </si>
  <si>
    <t>12 : MultiRefs</t>
  </si>
  <si>
    <t>13 : Info</t>
  </si>
  <si>
    <t>VG1EC50072121B4727</t>
  </si>
  <si>
    <t>var13</t>
  </si>
  <si>
    <t>ST_Wins2005</t>
  </si>
  <si>
    <t>13 : Ranges</t>
  </si>
  <si>
    <t>13 : MultiRefs</t>
  </si>
  <si>
    <t>14 : Info</t>
  </si>
  <si>
    <t>VG3651085724B48737</t>
  </si>
  <si>
    <t>var14</t>
  </si>
  <si>
    <t>ST_Wins2006</t>
  </si>
  <si>
    <t>14 : Ranges</t>
  </si>
  <si>
    <t>14 : MultiRefs</t>
  </si>
  <si>
    <t>15 : Info</t>
  </si>
  <si>
    <t>VG24468C2BED0EDEE</t>
  </si>
  <si>
    <t>var15</t>
  </si>
  <si>
    <t>ST_Wins2007</t>
  </si>
  <si>
    <t>15 : Ranges</t>
  </si>
  <si>
    <t>15 : MultiRefs</t>
  </si>
  <si>
    <t>16 : Info</t>
  </si>
  <si>
    <t>VG2767E8A6337986E0</t>
  </si>
  <si>
    <t>var16</t>
  </si>
  <si>
    <t>ST_Wins2008</t>
  </si>
  <si>
    <t>16 : Ranges</t>
  </si>
  <si>
    <t>16 : MultiRefs</t>
  </si>
  <si>
    <t>17 : Info</t>
  </si>
  <si>
    <t>VG252693F2AC008D9</t>
  </si>
  <si>
    <t>var17</t>
  </si>
  <si>
    <t>ST_Wins2009</t>
  </si>
  <si>
    <t>17 : Ranges</t>
  </si>
  <si>
    <t>17 : MultiRefs</t>
  </si>
  <si>
    <t>StatTools</t>
  </si>
  <si>
    <t>(Core Analysis Pack)</t>
  </si>
  <si>
    <t>Analysis:</t>
  </si>
  <si>
    <t>Correlation and Covariance</t>
  </si>
  <si>
    <t>Performed By:</t>
  </si>
  <si>
    <t xml:space="preserve"> Chris Albright</t>
  </si>
  <si>
    <t>Date:</t>
  </si>
  <si>
    <t>Updating:</t>
  </si>
  <si>
    <t>Live</t>
  </si>
  <si>
    <t>Correlation Table</t>
  </si>
  <si>
    <t>Scatterplot</t>
  </si>
  <si>
    <t>Correlation</t>
  </si>
  <si>
    <t>Playoffs 2002</t>
  </si>
  <si>
    <t>Playoffs 2003</t>
  </si>
  <si>
    <t>Playoffs 2004</t>
  </si>
  <si>
    <t>Playoffs 2005</t>
  </si>
  <si>
    <t>Playoffs 2006</t>
  </si>
  <si>
    <t>Playoffs 2007</t>
  </si>
  <si>
    <t>Playoffs 2008</t>
  </si>
  <si>
    <t>Playoffs 2009</t>
  </si>
  <si>
    <t>No</t>
  </si>
  <si>
    <t>Yes</t>
  </si>
  <si>
    <t>Row Labels</t>
  </si>
  <si>
    <t>Grand Total</t>
  </si>
  <si>
    <t>Average of Salary 2002</t>
  </si>
  <si>
    <t>Average of Salary 2003</t>
  </si>
  <si>
    <t>Average of Salary 2004</t>
  </si>
  <si>
    <t>Average of Salary 2005</t>
  </si>
  <si>
    <t>Average of Salary 2006</t>
  </si>
  <si>
    <t>Average of Salary 2007</t>
  </si>
  <si>
    <t>Average of Salary 2008</t>
  </si>
  <si>
    <t>Average of Salary 2009</t>
  </si>
  <si>
    <t>Percent higher</t>
  </si>
  <si>
    <t>Wednesday, February 08, 2012</t>
  </si>
  <si>
    <t>StatTools Report</t>
  </si>
  <si>
    <t>Chris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</si>
</sst>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
    <numFmt numFmtId="165" formatCode="0.000"/>
  </numFmts>
  <fonts count="10" x14ac:knownFonts="1">
    <font>
      <sz val="11"/>
      <color theme="1"/>
      <name val="Calibri"/>
      <family val="2"/>
      <scheme val="minor"/>
    </font>
    <font>
      <b/>
      <sz val="11"/>
      <color theme="1"/>
      <name val="Calibri"/>
      <family val="2"/>
      <scheme val="minor"/>
    </font>
    <font>
      <sz val="11"/>
      <color theme="0"/>
      <name val="Calibri"/>
      <family val="2"/>
      <scheme val="minor"/>
    </font>
    <font>
      <sz val="8"/>
      <color indexed="81"/>
      <name val="Tahoma"/>
      <family val="2"/>
    </font>
    <font>
      <b/>
      <sz val="8"/>
      <color indexed="81"/>
      <name val="Tahoma"/>
      <family val="2"/>
    </font>
    <font>
      <sz val="11"/>
      <color theme="1"/>
      <name val="Calibri"/>
      <family val="2"/>
      <scheme val="minor"/>
    </font>
    <font>
      <sz val="8"/>
      <color theme="1"/>
      <name val="Calibri"/>
      <family val="2"/>
      <scheme val="minor"/>
    </font>
    <font>
      <b/>
      <sz val="8"/>
      <color theme="1"/>
      <name val="Calibri"/>
      <family val="2"/>
      <scheme val="minor"/>
    </font>
    <font>
      <b/>
      <sz val="14"/>
      <color theme="1"/>
      <name val="Calibri"/>
      <family val="2"/>
      <scheme val="minor"/>
    </font>
    <font>
      <b/>
      <i/>
      <sz val="8"/>
      <color theme="1"/>
      <name val="Calibri"/>
      <family val="2"/>
      <scheme val="minor"/>
    </font>
  </fonts>
  <fills count="5">
    <fill>
      <patternFill patternType="none"/>
    </fill>
    <fill>
      <patternFill patternType="gray125"/>
    </fill>
    <fill>
      <patternFill patternType="solid">
        <fgColor theme="6" tint="0.59999389629810485"/>
        <bgColor indexed="64"/>
      </patternFill>
    </fill>
    <fill>
      <patternFill patternType="solid">
        <fgColor theme="6" tint="-0.249977111117893"/>
        <bgColor indexed="64"/>
      </patternFill>
    </fill>
    <fill>
      <patternFill patternType="solid">
        <fgColor rgb="FFC0C0C0"/>
        <bgColor indexed="64"/>
      </patternFill>
    </fill>
  </fills>
  <borders count="3">
    <border>
      <left/>
      <right/>
      <top/>
      <bottom/>
      <diagonal/>
    </border>
    <border>
      <left/>
      <right/>
      <top/>
      <bottom style="thin">
        <color rgb="FF000000"/>
      </bottom>
      <diagonal/>
    </border>
    <border>
      <left/>
      <right/>
      <top/>
      <bottom style="double">
        <color rgb="FF000000"/>
      </bottom>
      <diagonal/>
    </border>
  </borders>
  <cellStyleXfs count="2">
    <xf numFmtId="0" fontId="0" fillId="0" borderId="0"/>
    <xf numFmtId="9" fontId="5" fillId="0" borderId="0" applyFont="0" applyFill="0" applyBorder="0" applyAlignment="0" applyProtection="0"/>
  </cellStyleXfs>
  <cellXfs count="36">
    <xf numFmtId="0" fontId="0" fillId="0" borderId="0" xfId="0"/>
    <xf numFmtId="164" fontId="0" fillId="0" borderId="0" xfId="0" applyNumberFormat="1"/>
    <xf numFmtId="0" fontId="1" fillId="0" borderId="0" xfId="0" applyFont="1"/>
    <xf numFmtId="164" fontId="1" fillId="0" borderId="0" xfId="0" applyNumberFormat="1" applyFont="1" applyAlignment="1">
      <alignment horizontal="right"/>
    </xf>
    <xf numFmtId="0" fontId="1" fillId="0" borderId="0" xfId="0" applyFont="1" applyAlignment="1">
      <alignment horizontal="right"/>
    </xf>
    <xf numFmtId="0" fontId="0" fillId="2" borderId="0" xfId="0" applyFill="1"/>
    <xf numFmtId="0" fontId="0" fillId="3" borderId="0" xfId="0" applyFill="1"/>
    <xf numFmtId="0" fontId="2" fillId="3" borderId="0" xfId="0" applyFont="1" applyFill="1"/>
    <xf numFmtId="1" fontId="0" fillId="2" borderId="0" xfId="0" applyNumberFormat="1" applyFill="1"/>
    <xf numFmtId="1" fontId="0" fillId="3" borderId="0" xfId="0" applyNumberFormat="1" applyFill="1"/>
    <xf numFmtId="1" fontId="2" fillId="3" borderId="0" xfId="0" applyNumberFormat="1" applyFont="1" applyFill="1"/>
    <xf numFmtId="0" fontId="0" fillId="0" borderId="0" xfId="0" applyAlignment="1">
      <alignment horizontal="left"/>
    </xf>
    <xf numFmtId="0" fontId="1" fillId="0" borderId="0" xfId="0" applyFont="1" applyAlignment="1">
      <alignment horizontal="left"/>
    </xf>
    <xf numFmtId="0" fontId="6" fillId="4" borderId="0" xfId="0" applyFont="1" applyFill="1"/>
    <xf numFmtId="0" fontId="6" fillId="4" borderId="1" xfId="0" applyFont="1" applyFill="1" applyBorder="1"/>
    <xf numFmtId="0" fontId="8" fillId="4" borderId="0" xfId="0" applyFont="1" applyFill="1" applyAlignment="1">
      <alignment horizontal="right"/>
    </xf>
    <xf numFmtId="0" fontId="7" fillId="4" borderId="0" xfId="0" applyFont="1" applyFill="1" applyAlignment="1">
      <alignment horizontal="right"/>
    </xf>
    <xf numFmtId="0" fontId="7" fillId="4" borderId="1" xfId="0" applyFont="1" applyFill="1" applyBorder="1" applyAlignment="1">
      <alignment horizontal="right"/>
    </xf>
    <xf numFmtId="0" fontId="6" fillId="4" borderId="0" xfId="0" applyFont="1" applyFill="1" applyAlignment="1">
      <alignment horizontal="left"/>
    </xf>
    <xf numFmtId="0" fontId="6" fillId="4" borderId="1" xfId="0" applyFont="1" applyFill="1" applyBorder="1" applyAlignment="1">
      <alignment horizontal="left"/>
    </xf>
    <xf numFmtId="0" fontId="0" fillId="0" borderId="0" xfId="0" applyAlignment="1">
      <alignment horizontal="center"/>
    </xf>
    <xf numFmtId="49" fontId="7" fillId="0" borderId="0" xfId="0" applyNumberFormat="1" applyFont="1" applyAlignment="1">
      <alignment horizontal="center"/>
    </xf>
    <xf numFmtId="49" fontId="7" fillId="0" borderId="2" xfId="0" applyNumberFormat="1" applyFont="1" applyFill="1" applyBorder="1" applyAlignment="1">
      <alignment horizontal="center"/>
    </xf>
    <xf numFmtId="49" fontId="7" fillId="0" borderId="0" xfId="0" applyNumberFormat="1" applyFont="1" applyAlignment="1">
      <alignment horizontal="left"/>
    </xf>
    <xf numFmtId="49" fontId="9" fillId="0" borderId="0" xfId="0" applyNumberFormat="1" applyFont="1" applyAlignment="1">
      <alignment horizontal="left"/>
    </xf>
    <xf numFmtId="49" fontId="9" fillId="0" borderId="2" xfId="0" applyNumberFormat="1" applyFont="1" applyFill="1" applyBorder="1" applyAlignment="1">
      <alignment horizontal="left"/>
    </xf>
    <xf numFmtId="165" fontId="0" fillId="0" borderId="0" xfId="0" applyNumberFormat="1" applyAlignment="1">
      <alignment horizontal="center"/>
    </xf>
    <xf numFmtId="0" fontId="6" fillId="0" borderId="0" xfId="0" applyFont="1"/>
    <xf numFmtId="165" fontId="6" fillId="0" borderId="0" xfId="0" applyNumberFormat="1" applyFont="1" applyAlignment="1">
      <alignment horizontal="center"/>
    </xf>
    <xf numFmtId="0" fontId="1" fillId="0" borderId="0" xfId="0" applyFont="1" applyAlignment="1">
      <alignment horizontal="center"/>
    </xf>
    <xf numFmtId="0" fontId="0" fillId="3" borderId="0" xfId="0" applyFill="1" applyAlignment="1">
      <alignment horizontal="center"/>
    </xf>
    <xf numFmtId="0" fontId="0" fillId="2" borderId="0" xfId="0" applyFill="1" applyAlignment="1">
      <alignment horizontal="center"/>
    </xf>
    <xf numFmtId="0" fontId="2" fillId="3" borderId="0" xfId="0" applyFont="1" applyFill="1" applyAlignment="1">
      <alignment horizontal="center"/>
    </xf>
    <xf numFmtId="0" fontId="0" fillId="0" borderId="0" xfId="0" pivotButton="1"/>
    <xf numFmtId="10" fontId="0" fillId="0" borderId="0" xfId="1" applyNumberFormat="1" applyFont="1"/>
    <xf numFmtId="0" fontId="8" fillId="4" borderId="0" xfId="0" applyFont="1" applyFill="1" applyAlignment="1">
      <alignment horizontal="left"/>
    </xf>
  </cellXfs>
  <cellStyles count="2">
    <cellStyle name="Normal" xfId="0" builtinId="0" customBuiltin="1"/>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Wins 2002 vs Salary 2002 of Data Set #1</a:t>
            </a:r>
          </a:p>
        </c:rich>
      </c:tx>
      <c:layout/>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Scatterplot!ScatterX_590B7</c:f>
              <c:numCache>
                <c:formatCode>General</c:formatCode>
                <c:ptCount val="32"/>
                <c:pt idx="0">
                  <c:v>984817</c:v>
                </c:pt>
                <c:pt idx="1">
                  <c:v>1493423</c:v>
                </c:pt>
                <c:pt idx="2">
                  <c:v>1010225</c:v>
                </c:pt>
                <c:pt idx="3">
                  <c:v>960548</c:v>
                </c:pt>
                <c:pt idx="4">
                  <c:v>1088686</c:v>
                </c:pt>
                <c:pt idx="5">
                  <c:v>1094568</c:v>
                </c:pt>
                <c:pt idx="6">
                  <c:v>904181</c:v>
                </c:pt>
                <c:pt idx="7">
                  <c:v>820765</c:v>
                </c:pt>
                <c:pt idx="8">
                  <c:v>1097598</c:v>
                </c:pt>
                <c:pt idx="9">
                  <c:v>1176801</c:v>
                </c:pt>
                <c:pt idx="10">
                  <c:v>960138</c:v>
                </c:pt>
                <c:pt idx="11">
                  <c:v>847120</c:v>
                </c:pt>
                <c:pt idx="12">
                  <c:v>1288927</c:v>
                </c:pt>
                <c:pt idx="13">
                  <c:v>1095478</c:v>
                </c:pt>
                <c:pt idx="14">
                  <c:v>826060</c:v>
                </c:pt>
                <c:pt idx="15">
                  <c:v>1066518</c:v>
                </c:pt>
                <c:pt idx="16">
                  <c:v>1056708</c:v>
                </c:pt>
                <c:pt idx="17">
                  <c:v>725823</c:v>
                </c:pt>
                <c:pt idx="18">
                  <c:v>796464</c:v>
                </c:pt>
                <c:pt idx="19">
                  <c:v>1004886</c:v>
                </c:pt>
                <c:pt idx="20">
                  <c:v>1179291</c:v>
                </c:pt>
                <c:pt idx="21">
                  <c:v>1661556</c:v>
                </c:pt>
                <c:pt idx="22">
                  <c:v>1447097</c:v>
                </c:pt>
                <c:pt idx="23">
                  <c:v>1463029</c:v>
                </c:pt>
                <c:pt idx="24">
                  <c:v>1470405</c:v>
                </c:pt>
                <c:pt idx="25">
                  <c:v>1083151</c:v>
                </c:pt>
                <c:pt idx="26">
                  <c:v>1156099</c:v>
                </c:pt>
                <c:pt idx="27">
                  <c:v>1240014</c:v>
                </c:pt>
                <c:pt idx="28">
                  <c:v>925726</c:v>
                </c:pt>
                <c:pt idx="29">
                  <c:v>1092988</c:v>
                </c:pt>
                <c:pt idx="30">
                  <c:v>987810</c:v>
                </c:pt>
                <c:pt idx="31">
                  <c:v>940756</c:v>
                </c:pt>
              </c:numCache>
            </c:numRef>
          </c:xVal>
          <c:yVal>
            <c:numRef>
              <c:f>Scatterplot!ScatterY_590B7</c:f>
              <c:numCache>
                <c:formatCode>General</c:formatCode>
                <c:ptCount val="32"/>
                <c:pt idx="0">
                  <c:v>5</c:v>
                </c:pt>
                <c:pt idx="1">
                  <c:v>9.5</c:v>
                </c:pt>
                <c:pt idx="2">
                  <c:v>7</c:v>
                </c:pt>
                <c:pt idx="3">
                  <c:v>8</c:v>
                </c:pt>
                <c:pt idx="4">
                  <c:v>7</c:v>
                </c:pt>
                <c:pt idx="5">
                  <c:v>4</c:v>
                </c:pt>
                <c:pt idx="6">
                  <c:v>2</c:v>
                </c:pt>
                <c:pt idx="7">
                  <c:v>9</c:v>
                </c:pt>
                <c:pt idx="8">
                  <c:v>5</c:v>
                </c:pt>
                <c:pt idx="9">
                  <c:v>9</c:v>
                </c:pt>
                <c:pt idx="10">
                  <c:v>3</c:v>
                </c:pt>
                <c:pt idx="11">
                  <c:v>12</c:v>
                </c:pt>
                <c:pt idx="12">
                  <c:v>4</c:v>
                </c:pt>
                <c:pt idx="13">
                  <c:v>10</c:v>
                </c:pt>
                <c:pt idx="14">
                  <c:v>6</c:v>
                </c:pt>
                <c:pt idx="15">
                  <c:v>8</c:v>
                </c:pt>
                <c:pt idx="16">
                  <c:v>9</c:v>
                </c:pt>
                <c:pt idx="17">
                  <c:v>6</c:v>
                </c:pt>
                <c:pt idx="18">
                  <c:v>9</c:v>
                </c:pt>
                <c:pt idx="19">
                  <c:v>9</c:v>
                </c:pt>
                <c:pt idx="20">
                  <c:v>10</c:v>
                </c:pt>
                <c:pt idx="21">
                  <c:v>9</c:v>
                </c:pt>
                <c:pt idx="22">
                  <c:v>11</c:v>
                </c:pt>
                <c:pt idx="23">
                  <c:v>12</c:v>
                </c:pt>
                <c:pt idx="24">
                  <c:v>10.5</c:v>
                </c:pt>
                <c:pt idx="25">
                  <c:v>8</c:v>
                </c:pt>
                <c:pt idx="26">
                  <c:v>10</c:v>
                </c:pt>
                <c:pt idx="27">
                  <c:v>7</c:v>
                </c:pt>
                <c:pt idx="28">
                  <c:v>7</c:v>
                </c:pt>
                <c:pt idx="29">
                  <c:v>12</c:v>
                </c:pt>
                <c:pt idx="30">
                  <c:v>11</c:v>
                </c:pt>
                <c:pt idx="31">
                  <c:v>7</c:v>
                </c:pt>
              </c:numCache>
            </c:numRef>
          </c:yVal>
          <c:smooth val="0"/>
        </c:ser>
        <c:dLbls>
          <c:showLegendKey val="0"/>
          <c:showVal val="0"/>
          <c:showCatName val="0"/>
          <c:showSerName val="0"/>
          <c:showPercent val="0"/>
          <c:showBubbleSize val="0"/>
        </c:dLbls>
        <c:axId val="977196288"/>
        <c:axId val="977190016"/>
      </c:scatterChart>
      <c:valAx>
        <c:axId val="977196288"/>
        <c:scaling>
          <c:orientation val="minMax"/>
        </c:scaling>
        <c:delete val="0"/>
        <c:axPos val="b"/>
        <c:title>
          <c:tx>
            <c:rich>
              <a:bodyPr/>
              <a:lstStyle/>
              <a:p>
                <a:pPr>
                  <a:defRPr sz="800" b="0"/>
                </a:pPr>
                <a:r>
                  <a:rPr lang="en-US"/>
                  <a:t>Salary 2002 / Data Set #1</a:t>
                </a:r>
              </a:p>
            </c:rich>
          </c:tx>
          <c:layout/>
          <c:overlay val="0"/>
        </c:title>
        <c:numFmt formatCode="General" sourceLinked="0"/>
        <c:majorTickMark val="out"/>
        <c:minorTickMark val="none"/>
        <c:tickLblPos val="nextTo"/>
        <c:txPr>
          <a:bodyPr/>
          <a:lstStyle/>
          <a:p>
            <a:pPr>
              <a:defRPr sz="800" b="0"/>
            </a:pPr>
            <a:endParaRPr lang="en-US"/>
          </a:p>
        </c:txPr>
        <c:crossAx val="977190016"/>
        <c:crosses val="autoZero"/>
        <c:crossBetween val="midCat"/>
      </c:valAx>
      <c:valAx>
        <c:axId val="977190016"/>
        <c:scaling>
          <c:orientation val="minMax"/>
        </c:scaling>
        <c:delete val="0"/>
        <c:axPos val="l"/>
        <c:title>
          <c:tx>
            <c:rich>
              <a:bodyPr/>
              <a:lstStyle/>
              <a:p>
                <a:pPr>
                  <a:defRPr sz="800" b="0"/>
                </a:pPr>
                <a:r>
                  <a:rPr lang="en-US"/>
                  <a:t>Wins 2002 / Data Set #1</a:t>
                </a:r>
              </a:p>
            </c:rich>
          </c:tx>
          <c:layout/>
          <c:overlay val="0"/>
        </c:title>
        <c:numFmt formatCode="General" sourceLinked="0"/>
        <c:majorTickMark val="out"/>
        <c:minorTickMark val="none"/>
        <c:tickLblPos val="nextTo"/>
        <c:txPr>
          <a:bodyPr/>
          <a:lstStyle/>
          <a:p>
            <a:pPr>
              <a:defRPr sz="800" b="0"/>
            </a:pPr>
            <a:endParaRPr lang="en-US"/>
          </a:p>
        </c:txPr>
        <c:crossAx val="977196288"/>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Wins 2003 vs Salary 2003 of Data Set #1</a:t>
            </a:r>
          </a:p>
        </c:rich>
      </c:tx>
      <c:layout/>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Scatterplot!ScatterX_91DCE</c:f>
              <c:numCache>
                <c:formatCode>General</c:formatCode>
                <c:ptCount val="32"/>
                <c:pt idx="0">
                  <c:v>1286269</c:v>
                </c:pt>
                <c:pt idx="1">
                  <c:v>1347004</c:v>
                </c:pt>
                <c:pt idx="2">
                  <c:v>1263782</c:v>
                </c:pt>
                <c:pt idx="3">
                  <c:v>1290753</c:v>
                </c:pt>
                <c:pt idx="4">
                  <c:v>1314342</c:v>
                </c:pt>
                <c:pt idx="5">
                  <c:v>854758</c:v>
                </c:pt>
                <c:pt idx="6">
                  <c:v>1526022</c:v>
                </c:pt>
                <c:pt idx="7">
                  <c:v>1250073</c:v>
                </c:pt>
                <c:pt idx="8">
                  <c:v>1028999</c:v>
                </c:pt>
                <c:pt idx="9">
                  <c:v>1373598</c:v>
                </c:pt>
                <c:pt idx="10">
                  <c:v>1142090</c:v>
                </c:pt>
                <c:pt idx="11">
                  <c:v>1206721</c:v>
                </c:pt>
                <c:pt idx="12">
                  <c:v>1108450</c:v>
                </c:pt>
                <c:pt idx="13">
                  <c:v>1249970</c:v>
                </c:pt>
                <c:pt idx="14">
                  <c:v>1269921</c:v>
                </c:pt>
                <c:pt idx="15">
                  <c:v>1407165</c:v>
                </c:pt>
                <c:pt idx="16">
                  <c:v>1070463</c:v>
                </c:pt>
                <c:pt idx="17">
                  <c:v>1530712</c:v>
                </c:pt>
                <c:pt idx="18">
                  <c:v>1324649</c:v>
                </c:pt>
                <c:pt idx="19">
                  <c:v>1533925</c:v>
                </c:pt>
                <c:pt idx="20">
                  <c:v>1183717</c:v>
                </c:pt>
                <c:pt idx="21">
                  <c:v>1214208</c:v>
                </c:pt>
                <c:pt idx="22">
                  <c:v>1134922</c:v>
                </c:pt>
                <c:pt idx="23">
                  <c:v>1269457</c:v>
                </c:pt>
                <c:pt idx="24">
                  <c:v>1096064</c:v>
                </c:pt>
                <c:pt idx="25">
                  <c:v>1126624</c:v>
                </c:pt>
                <c:pt idx="26">
                  <c:v>1043436</c:v>
                </c:pt>
                <c:pt idx="27">
                  <c:v>1432572</c:v>
                </c:pt>
                <c:pt idx="28">
                  <c:v>1380782</c:v>
                </c:pt>
                <c:pt idx="29">
                  <c:v>1376323</c:v>
                </c:pt>
                <c:pt idx="30">
                  <c:v>1325894</c:v>
                </c:pt>
                <c:pt idx="31">
                  <c:v>1368164</c:v>
                </c:pt>
              </c:numCache>
            </c:numRef>
          </c:xVal>
          <c:yVal>
            <c:numRef>
              <c:f>Scatterplot!ScatterY_91DCE</c:f>
              <c:numCache>
                <c:formatCode>General</c:formatCode>
                <c:ptCount val="32"/>
                <c:pt idx="0">
                  <c:v>4</c:v>
                </c:pt>
                <c:pt idx="1">
                  <c:v>5</c:v>
                </c:pt>
                <c:pt idx="2">
                  <c:v>10</c:v>
                </c:pt>
                <c:pt idx="3">
                  <c:v>6</c:v>
                </c:pt>
                <c:pt idx="4">
                  <c:v>11</c:v>
                </c:pt>
                <c:pt idx="5">
                  <c:v>7</c:v>
                </c:pt>
                <c:pt idx="6">
                  <c:v>8</c:v>
                </c:pt>
                <c:pt idx="7">
                  <c:v>5</c:v>
                </c:pt>
                <c:pt idx="8">
                  <c:v>10</c:v>
                </c:pt>
                <c:pt idx="9">
                  <c:v>10</c:v>
                </c:pt>
                <c:pt idx="10">
                  <c:v>5</c:v>
                </c:pt>
                <c:pt idx="11">
                  <c:v>10</c:v>
                </c:pt>
                <c:pt idx="12">
                  <c:v>5</c:v>
                </c:pt>
                <c:pt idx="13">
                  <c:v>12</c:v>
                </c:pt>
                <c:pt idx="14">
                  <c:v>5</c:v>
                </c:pt>
                <c:pt idx="15">
                  <c:v>13</c:v>
                </c:pt>
                <c:pt idx="16">
                  <c:v>10</c:v>
                </c:pt>
                <c:pt idx="17">
                  <c:v>9</c:v>
                </c:pt>
                <c:pt idx="18">
                  <c:v>14</c:v>
                </c:pt>
                <c:pt idx="19">
                  <c:v>8</c:v>
                </c:pt>
                <c:pt idx="20">
                  <c:v>4</c:v>
                </c:pt>
                <c:pt idx="21">
                  <c:v>6</c:v>
                </c:pt>
                <c:pt idx="22">
                  <c:v>4</c:v>
                </c:pt>
                <c:pt idx="23">
                  <c:v>12</c:v>
                </c:pt>
                <c:pt idx="24">
                  <c:v>6</c:v>
                </c:pt>
                <c:pt idx="25">
                  <c:v>4</c:v>
                </c:pt>
                <c:pt idx="26">
                  <c:v>7</c:v>
                </c:pt>
                <c:pt idx="27">
                  <c:v>10</c:v>
                </c:pt>
                <c:pt idx="28">
                  <c:v>12</c:v>
                </c:pt>
                <c:pt idx="29">
                  <c:v>7</c:v>
                </c:pt>
                <c:pt idx="30">
                  <c:v>12</c:v>
                </c:pt>
                <c:pt idx="31">
                  <c:v>5</c:v>
                </c:pt>
              </c:numCache>
            </c:numRef>
          </c:yVal>
          <c:smooth val="0"/>
        </c:ser>
        <c:dLbls>
          <c:showLegendKey val="0"/>
          <c:showVal val="0"/>
          <c:showCatName val="0"/>
          <c:showSerName val="0"/>
          <c:showPercent val="0"/>
          <c:showBubbleSize val="0"/>
        </c:dLbls>
        <c:axId val="977195112"/>
        <c:axId val="977189232"/>
      </c:scatterChart>
      <c:valAx>
        <c:axId val="977195112"/>
        <c:scaling>
          <c:orientation val="minMax"/>
        </c:scaling>
        <c:delete val="0"/>
        <c:axPos val="b"/>
        <c:title>
          <c:tx>
            <c:rich>
              <a:bodyPr/>
              <a:lstStyle/>
              <a:p>
                <a:pPr>
                  <a:defRPr sz="800" b="0"/>
                </a:pPr>
                <a:r>
                  <a:rPr lang="en-US"/>
                  <a:t>Salary 2003 / Data Set #1</a:t>
                </a:r>
              </a:p>
            </c:rich>
          </c:tx>
          <c:layout/>
          <c:overlay val="0"/>
        </c:title>
        <c:numFmt formatCode="General" sourceLinked="0"/>
        <c:majorTickMark val="out"/>
        <c:minorTickMark val="none"/>
        <c:tickLblPos val="nextTo"/>
        <c:txPr>
          <a:bodyPr/>
          <a:lstStyle/>
          <a:p>
            <a:pPr>
              <a:defRPr sz="800" b="0"/>
            </a:pPr>
            <a:endParaRPr lang="en-US"/>
          </a:p>
        </c:txPr>
        <c:crossAx val="977189232"/>
        <c:crosses val="autoZero"/>
        <c:crossBetween val="midCat"/>
      </c:valAx>
      <c:valAx>
        <c:axId val="977189232"/>
        <c:scaling>
          <c:orientation val="minMax"/>
        </c:scaling>
        <c:delete val="0"/>
        <c:axPos val="l"/>
        <c:title>
          <c:tx>
            <c:rich>
              <a:bodyPr/>
              <a:lstStyle/>
              <a:p>
                <a:pPr>
                  <a:defRPr sz="800" b="0"/>
                </a:pPr>
                <a:r>
                  <a:rPr lang="en-US"/>
                  <a:t>Wins 2003 / Data Set #1</a:t>
                </a:r>
              </a:p>
            </c:rich>
          </c:tx>
          <c:layout/>
          <c:overlay val="0"/>
        </c:title>
        <c:numFmt formatCode="General" sourceLinked="0"/>
        <c:majorTickMark val="out"/>
        <c:minorTickMark val="none"/>
        <c:tickLblPos val="nextTo"/>
        <c:txPr>
          <a:bodyPr/>
          <a:lstStyle/>
          <a:p>
            <a:pPr>
              <a:defRPr sz="800" b="0"/>
            </a:pPr>
            <a:endParaRPr lang="en-US"/>
          </a:p>
        </c:txPr>
        <c:crossAx val="977195112"/>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Wins 2004 vs Salary 2004 of Data Set #1</a:t>
            </a:r>
          </a:p>
        </c:rich>
      </c:tx>
      <c:layout/>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Scatterplot!ScatterX_EBF6</c:f>
              <c:numCache>
                <c:formatCode>General</c:formatCode>
                <c:ptCount val="32"/>
                <c:pt idx="0">
                  <c:v>1273570</c:v>
                </c:pt>
                <c:pt idx="1">
                  <c:v>1216342</c:v>
                </c:pt>
                <c:pt idx="2">
                  <c:v>1293068</c:v>
                </c:pt>
                <c:pt idx="3">
                  <c:v>1253305</c:v>
                </c:pt>
                <c:pt idx="4">
                  <c:v>1272853</c:v>
                </c:pt>
                <c:pt idx="5">
                  <c:v>1185517</c:v>
                </c:pt>
                <c:pt idx="6">
                  <c:v>969181</c:v>
                </c:pt>
                <c:pt idx="7">
                  <c:v>1219550</c:v>
                </c:pt>
                <c:pt idx="8">
                  <c:v>1036642</c:v>
                </c:pt>
                <c:pt idx="9">
                  <c:v>976261</c:v>
                </c:pt>
                <c:pt idx="10">
                  <c:v>1455056</c:v>
                </c:pt>
                <c:pt idx="11">
                  <c:v>1199756</c:v>
                </c:pt>
                <c:pt idx="12">
                  <c:v>1476873</c:v>
                </c:pt>
                <c:pt idx="13">
                  <c:v>1397109</c:v>
                </c:pt>
                <c:pt idx="14">
                  <c:v>1045116</c:v>
                </c:pt>
                <c:pt idx="15">
                  <c:v>1343137</c:v>
                </c:pt>
                <c:pt idx="16">
                  <c:v>1304685</c:v>
                </c:pt>
                <c:pt idx="17">
                  <c:v>1320114</c:v>
                </c:pt>
                <c:pt idx="18">
                  <c:v>1149241</c:v>
                </c:pt>
                <c:pt idx="19">
                  <c:v>1182646</c:v>
                </c:pt>
                <c:pt idx="20">
                  <c:v>1100848</c:v>
                </c:pt>
                <c:pt idx="21">
                  <c:v>1538791</c:v>
                </c:pt>
                <c:pt idx="22">
                  <c:v>1208893</c:v>
                </c:pt>
                <c:pt idx="23">
                  <c:v>1566826</c:v>
                </c:pt>
                <c:pt idx="24">
                  <c:v>1257339</c:v>
                </c:pt>
                <c:pt idx="25">
                  <c:v>1121368</c:v>
                </c:pt>
                <c:pt idx="26">
                  <c:v>926968</c:v>
                </c:pt>
                <c:pt idx="27">
                  <c:v>1193585</c:v>
                </c:pt>
                <c:pt idx="28">
                  <c:v>1382445</c:v>
                </c:pt>
                <c:pt idx="29">
                  <c:v>1138744</c:v>
                </c:pt>
                <c:pt idx="30">
                  <c:v>1197028</c:v>
                </c:pt>
                <c:pt idx="31">
                  <c:v>1638365</c:v>
                </c:pt>
              </c:numCache>
            </c:numRef>
          </c:xVal>
          <c:yVal>
            <c:numRef>
              <c:f>Scatterplot!ScatterY_EBF6</c:f>
              <c:numCache>
                <c:formatCode>General</c:formatCode>
                <c:ptCount val="32"/>
                <c:pt idx="0">
                  <c:v>6</c:v>
                </c:pt>
                <c:pt idx="1">
                  <c:v>11</c:v>
                </c:pt>
                <c:pt idx="2">
                  <c:v>9</c:v>
                </c:pt>
                <c:pt idx="3">
                  <c:v>9</c:v>
                </c:pt>
                <c:pt idx="4">
                  <c:v>7</c:v>
                </c:pt>
                <c:pt idx="5">
                  <c:v>5</c:v>
                </c:pt>
                <c:pt idx="6">
                  <c:v>8</c:v>
                </c:pt>
                <c:pt idx="7">
                  <c:v>4</c:v>
                </c:pt>
                <c:pt idx="8">
                  <c:v>6</c:v>
                </c:pt>
                <c:pt idx="9">
                  <c:v>10</c:v>
                </c:pt>
                <c:pt idx="10">
                  <c:v>6</c:v>
                </c:pt>
                <c:pt idx="11">
                  <c:v>10</c:v>
                </c:pt>
                <c:pt idx="12">
                  <c:v>7</c:v>
                </c:pt>
                <c:pt idx="13">
                  <c:v>12</c:v>
                </c:pt>
                <c:pt idx="14">
                  <c:v>9</c:v>
                </c:pt>
                <c:pt idx="15">
                  <c:v>7</c:v>
                </c:pt>
                <c:pt idx="16">
                  <c:v>4</c:v>
                </c:pt>
                <c:pt idx="17">
                  <c:v>8</c:v>
                </c:pt>
                <c:pt idx="18">
                  <c:v>14</c:v>
                </c:pt>
                <c:pt idx="19">
                  <c:v>8</c:v>
                </c:pt>
                <c:pt idx="20">
                  <c:v>6</c:v>
                </c:pt>
                <c:pt idx="21">
                  <c:v>10</c:v>
                </c:pt>
                <c:pt idx="22">
                  <c:v>5</c:v>
                </c:pt>
                <c:pt idx="23">
                  <c:v>13</c:v>
                </c:pt>
                <c:pt idx="24">
                  <c:v>15</c:v>
                </c:pt>
                <c:pt idx="25">
                  <c:v>12</c:v>
                </c:pt>
                <c:pt idx="26">
                  <c:v>2</c:v>
                </c:pt>
                <c:pt idx="27">
                  <c:v>9</c:v>
                </c:pt>
                <c:pt idx="28">
                  <c:v>8</c:v>
                </c:pt>
                <c:pt idx="29">
                  <c:v>5</c:v>
                </c:pt>
                <c:pt idx="30">
                  <c:v>5</c:v>
                </c:pt>
                <c:pt idx="31">
                  <c:v>6</c:v>
                </c:pt>
              </c:numCache>
            </c:numRef>
          </c:yVal>
          <c:smooth val="0"/>
        </c:ser>
        <c:dLbls>
          <c:showLegendKey val="0"/>
          <c:showVal val="0"/>
          <c:showCatName val="0"/>
          <c:showSerName val="0"/>
          <c:showPercent val="0"/>
          <c:showBubbleSize val="0"/>
        </c:dLbls>
        <c:axId val="977189624"/>
        <c:axId val="977193152"/>
      </c:scatterChart>
      <c:valAx>
        <c:axId val="977189624"/>
        <c:scaling>
          <c:orientation val="minMax"/>
        </c:scaling>
        <c:delete val="0"/>
        <c:axPos val="b"/>
        <c:title>
          <c:tx>
            <c:rich>
              <a:bodyPr/>
              <a:lstStyle/>
              <a:p>
                <a:pPr>
                  <a:defRPr sz="800" b="0"/>
                </a:pPr>
                <a:r>
                  <a:rPr lang="en-US"/>
                  <a:t>Salary 2004 / Data Set #1</a:t>
                </a:r>
              </a:p>
            </c:rich>
          </c:tx>
          <c:layout/>
          <c:overlay val="0"/>
        </c:title>
        <c:numFmt formatCode="General" sourceLinked="0"/>
        <c:majorTickMark val="out"/>
        <c:minorTickMark val="none"/>
        <c:tickLblPos val="nextTo"/>
        <c:txPr>
          <a:bodyPr/>
          <a:lstStyle/>
          <a:p>
            <a:pPr>
              <a:defRPr sz="800" b="0"/>
            </a:pPr>
            <a:endParaRPr lang="en-US"/>
          </a:p>
        </c:txPr>
        <c:crossAx val="977193152"/>
        <c:crosses val="autoZero"/>
        <c:crossBetween val="midCat"/>
      </c:valAx>
      <c:valAx>
        <c:axId val="977193152"/>
        <c:scaling>
          <c:orientation val="minMax"/>
        </c:scaling>
        <c:delete val="0"/>
        <c:axPos val="l"/>
        <c:title>
          <c:tx>
            <c:rich>
              <a:bodyPr/>
              <a:lstStyle/>
              <a:p>
                <a:pPr>
                  <a:defRPr sz="800" b="0"/>
                </a:pPr>
                <a:r>
                  <a:rPr lang="en-US"/>
                  <a:t>Wins 2004 / Data Set #1</a:t>
                </a:r>
              </a:p>
            </c:rich>
          </c:tx>
          <c:layout/>
          <c:overlay val="0"/>
        </c:title>
        <c:numFmt formatCode="General" sourceLinked="0"/>
        <c:majorTickMark val="out"/>
        <c:minorTickMark val="none"/>
        <c:tickLblPos val="nextTo"/>
        <c:txPr>
          <a:bodyPr/>
          <a:lstStyle/>
          <a:p>
            <a:pPr>
              <a:defRPr sz="800" b="0"/>
            </a:pPr>
            <a:endParaRPr lang="en-US"/>
          </a:p>
        </c:txPr>
        <c:crossAx val="977189624"/>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Wins 2005 vs Salary 2005 of Data Set #1</a:t>
            </a:r>
          </a:p>
        </c:rich>
      </c:tx>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Scatterplot!ScatterX_3EFB9</c:f>
              <c:numCache>
                <c:formatCode>General</c:formatCode>
                <c:ptCount val="32"/>
                <c:pt idx="0">
                  <c:v>1142376</c:v>
                </c:pt>
                <c:pt idx="1">
                  <c:v>1674356</c:v>
                </c:pt>
                <c:pt idx="2">
                  <c:v>1371822</c:v>
                </c:pt>
                <c:pt idx="3">
                  <c:v>1552449</c:v>
                </c:pt>
                <c:pt idx="4">
                  <c:v>1206877</c:v>
                </c:pt>
                <c:pt idx="5">
                  <c:v>1225088</c:v>
                </c:pt>
                <c:pt idx="6">
                  <c:v>1226908</c:v>
                </c:pt>
                <c:pt idx="7">
                  <c:v>1478817</c:v>
                </c:pt>
                <c:pt idx="8">
                  <c:v>1563684</c:v>
                </c:pt>
                <c:pt idx="9">
                  <c:v>1265151</c:v>
                </c:pt>
                <c:pt idx="10">
                  <c:v>1388892</c:v>
                </c:pt>
                <c:pt idx="11">
                  <c:v>1011565</c:v>
                </c:pt>
                <c:pt idx="12">
                  <c:v>1385485</c:v>
                </c:pt>
                <c:pt idx="13">
                  <c:v>1155606</c:v>
                </c:pt>
                <c:pt idx="14">
                  <c:v>1388512</c:v>
                </c:pt>
                <c:pt idx="15">
                  <c:v>1391161</c:v>
                </c:pt>
                <c:pt idx="16">
                  <c:v>1074883</c:v>
                </c:pt>
                <c:pt idx="17">
                  <c:v>1400097</c:v>
                </c:pt>
                <c:pt idx="18">
                  <c:v>1409090</c:v>
                </c:pt>
                <c:pt idx="19">
                  <c:v>1477344</c:v>
                </c:pt>
                <c:pt idx="20">
                  <c:v>1396990</c:v>
                </c:pt>
                <c:pt idx="21">
                  <c:v>1202217</c:v>
                </c:pt>
                <c:pt idx="22">
                  <c:v>1693100</c:v>
                </c:pt>
                <c:pt idx="23">
                  <c:v>1053932</c:v>
                </c:pt>
                <c:pt idx="24">
                  <c:v>1525270</c:v>
                </c:pt>
                <c:pt idx="25">
                  <c:v>1381218</c:v>
                </c:pt>
                <c:pt idx="26">
                  <c:v>1285220</c:v>
                </c:pt>
                <c:pt idx="27">
                  <c:v>1314576</c:v>
                </c:pt>
                <c:pt idx="28">
                  <c:v>1622647</c:v>
                </c:pt>
                <c:pt idx="29">
                  <c:v>1250347</c:v>
                </c:pt>
                <c:pt idx="30">
                  <c:v>1100801</c:v>
                </c:pt>
                <c:pt idx="31">
                  <c:v>1139805</c:v>
                </c:pt>
              </c:numCache>
            </c:numRef>
          </c:xVal>
          <c:yVal>
            <c:numRef>
              <c:f>Scatterplot!ScatterY_3EFB9</c:f>
              <c:numCache>
                <c:formatCode>General</c:formatCode>
                <c:ptCount val="32"/>
                <c:pt idx="0">
                  <c:v>5</c:v>
                </c:pt>
                <c:pt idx="1">
                  <c:v>8</c:v>
                </c:pt>
                <c:pt idx="2">
                  <c:v>6</c:v>
                </c:pt>
                <c:pt idx="3">
                  <c:v>5</c:v>
                </c:pt>
                <c:pt idx="4">
                  <c:v>11</c:v>
                </c:pt>
                <c:pt idx="5">
                  <c:v>11</c:v>
                </c:pt>
                <c:pt idx="6">
                  <c:v>11</c:v>
                </c:pt>
                <c:pt idx="7">
                  <c:v>6</c:v>
                </c:pt>
                <c:pt idx="8">
                  <c:v>9</c:v>
                </c:pt>
                <c:pt idx="9">
                  <c:v>13</c:v>
                </c:pt>
                <c:pt idx="10">
                  <c:v>5</c:v>
                </c:pt>
                <c:pt idx="11">
                  <c:v>4</c:v>
                </c:pt>
                <c:pt idx="12">
                  <c:v>2</c:v>
                </c:pt>
                <c:pt idx="13">
                  <c:v>14</c:v>
                </c:pt>
                <c:pt idx="14">
                  <c:v>12</c:v>
                </c:pt>
                <c:pt idx="15">
                  <c:v>10</c:v>
                </c:pt>
                <c:pt idx="16">
                  <c:v>9</c:v>
                </c:pt>
                <c:pt idx="17">
                  <c:v>9</c:v>
                </c:pt>
                <c:pt idx="18">
                  <c:v>10</c:v>
                </c:pt>
                <c:pt idx="19">
                  <c:v>3</c:v>
                </c:pt>
                <c:pt idx="20">
                  <c:v>11</c:v>
                </c:pt>
                <c:pt idx="21">
                  <c:v>4</c:v>
                </c:pt>
                <c:pt idx="22">
                  <c:v>4</c:v>
                </c:pt>
                <c:pt idx="23">
                  <c:v>6</c:v>
                </c:pt>
                <c:pt idx="24">
                  <c:v>11</c:v>
                </c:pt>
                <c:pt idx="25">
                  <c:v>9</c:v>
                </c:pt>
                <c:pt idx="26">
                  <c:v>4</c:v>
                </c:pt>
                <c:pt idx="27">
                  <c:v>13</c:v>
                </c:pt>
                <c:pt idx="28">
                  <c:v>6</c:v>
                </c:pt>
                <c:pt idx="29">
                  <c:v>11</c:v>
                </c:pt>
                <c:pt idx="30">
                  <c:v>4</c:v>
                </c:pt>
                <c:pt idx="31">
                  <c:v>10</c:v>
                </c:pt>
              </c:numCache>
            </c:numRef>
          </c:yVal>
          <c:smooth val="0"/>
        </c:ser>
        <c:dLbls>
          <c:showLegendKey val="0"/>
          <c:showVal val="0"/>
          <c:showCatName val="0"/>
          <c:showSerName val="0"/>
          <c:showPercent val="0"/>
          <c:showBubbleSize val="0"/>
        </c:dLbls>
        <c:axId val="977194720"/>
        <c:axId val="977193544"/>
      </c:scatterChart>
      <c:valAx>
        <c:axId val="977194720"/>
        <c:scaling>
          <c:orientation val="minMax"/>
        </c:scaling>
        <c:delete val="0"/>
        <c:axPos val="b"/>
        <c:title>
          <c:tx>
            <c:rich>
              <a:bodyPr/>
              <a:lstStyle/>
              <a:p>
                <a:pPr>
                  <a:defRPr sz="800" b="0"/>
                </a:pPr>
                <a:r>
                  <a:rPr lang="en-US"/>
                  <a:t>Salary 2005 / Data Set #1</a:t>
                </a:r>
              </a:p>
            </c:rich>
          </c:tx>
          <c:overlay val="0"/>
        </c:title>
        <c:numFmt formatCode="General" sourceLinked="0"/>
        <c:majorTickMark val="out"/>
        <c:minorTickMark val="none"/>
        <c:tickLblPos val="nextTo"/>
        <c:txPr>
          <a:bodyPr/>
          <a:lstStyle/>
          <a:p>
            <a:pPr>
              <a:defRPr sz="800" b="0"/>
            </a:pPr>
            <a:endParaRPr lang="en-US"/>
          </a:p>
        </c:txPr>
        <c:crossAx val="977193544"/>
        <c:crosses val="autoZero"/>
        <c:crossBetween val="midCat"/>
      </c:valAx>
      <c:valAx>
        <c:axId val="977193544"/>
        <c:scaling>
          <c:orientation val="minMax"/>
        </c:scaling>
        <c:delete val="0"/>
        <c:axPos val="l"/>
        <c:title>
          <c:tx>
            <c:rich>
              <a:bodyPr/>
              <a:lstStyle/>
              <a:p>
                <a:pPr>
                  <a:defRPr sz="800" b="0"/>
                </a:pPr>
                <a:r>
                  <a:rPr lang="en-US"/>
                  <a:t>Wins 2005 / Data Set #1</a:t>
                </a:r>
              </a:p>
            </c:rich>
          </c:tx>
          <c:overlay val="0"/>
        </c:title>
        <c:numFmt formatCode="General" sourceLinked="0"/>
        <c:majorTickMark val="out"/>
        <c:minorTickMark val="none"/>
        <c:tickLblPos val="nextTo"/>
        <c:txPr>
          <a:bodyPr/>
          <a:lstStyle/>
          <a:p>
            <a:pPr>
              <a:defRPr sz="800" b="0"/>
            </a:pPr>
            <a:endParaRPr lang="en-US"/>
          </a:p>
        </c:txPr>
        <c:crossAx val="977194720"/>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Wins 2006 vs Salary 2006 of Data Set #1</a:t>
            </a:r>
          </a:p>
        </c:rich>
      </c:tx>
      <c:layout/>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Scatterplot!ScatterX_B6519</c:f>
              <c:numCache>
                <c:formatCode>General</c:formatCode>
                <c:ptCount val="32"/>
                <c:pt idx="0">
                  <c:v>1854139</c:v>
                </c:pt>
                <c:pt idx="1">
                  <c:v>1722495</c:v>
                </c:pt>
                <c:pt idx="2">
                  <c:v>1371599</c:v>
                </c:pt>
                <c:pt idx="3">
                  <c:v>1924082</c:v>
                </c:pt>
                <c:pt idx="4">
                  <c:v>1553368</c:v>
                </c:pt>
                <c:pt idx="5">
                  <c:v>1564848</c:v>
                </c:pt>
                <c:pt idx="6">
                  <c:v>1738462</c:v>
                </c:pt>
                <c:pt idx="7">
                  <c:v>1806010</c:v>
                </c:pt>
                <c:pt idx="8">
                  <c:v>1599876</c:v>
                </c:pt>
                <c:pt idx="9">
                  <c:v>1992902</c:v>
                </c:pt>
                <c:pt idx="10">
                  <c:v>1628942</c:v>
                </c:pt>
                <c:pt idx="11">
                  <c:v>1540021</c:v>
                </c:pt>
                <c:pt idx="12">
                  <c:v>1698061</c:v>
                </c:pt>
                <c:pt idx="13">
                  <c:v>2261892</c:v>
                </c:pt>
                <c:pt idx="14">
                  <c:v>1526008</c:v>
                </c:pt>
                <c:pt idx="15">
                  <c:v>1434176</c:v>
                </c:pt>
                <c:pt idx="16">
                  <c:v>1683797</c:v>
                </c:pt>
                <c:pt idx="17">
                  <c:v>2155619</c:v>
                </c:pt>
                <c:pt idx="18">
                  <c:v>1695331</c:v>
                </c:pt>
                <c:pt idx="19">
                  <c:v>1542734</c:v>
                </c:pt>
                <c:pt idx="20">
                  <c:v>1865456</c:v>
                </c:pt>
                <c:pt idx="21">
                  <c:v>1538319</c:v>
                </c:pt>
                <c:pt idx="22">
                  <c:v>1217324</c:v>
                </c:pt>
                <c:pt idx="23">
                  <c:v>1807698</c:v>
                </c:pt>
                <c:pt idx="24">
                  <c:v>1593864</c:v>
                </c:pt>
                <c:pt idx="25">
                  <c:v>1720388</c:v>
                </c:pt>
                <c:pt idx="26">
                  <c:v>1640257</c:v>
                </c:pt>
                <c:pt idx="27">
                  <c:v>1774920</c:v>
                </c:pt>
                <c:pt idx="28">
                  <c:v>1852585</c:v>
                </c:pt>
                <c:pt idx="29">
                  <c:v>1312992</c:v>
                </c:pt>
                <c:pt idx="30">
                  <c:v>1497013</c:v>
                </c:pt>
                <c:pt idx="31">
                  <c:v>1935798</c:v>
                </c:pt>
              </c:numCache>
            </c:numRef>
          </c:xVal>
          <c:yVal>
            <c:numRef>
              <c:f>Scatterplot!ScatterY_B6519</c:f>
              <c:numCache>
                <c:formatCode>General</c:formatCode>
                <c:ptCount val="32"/>
                <c:pt idx="0">
                  <c:v>5</c:v>
                </c:pt>
                <c:pt idx="1">
                  <c:v>7</c:v>
                </c:pt>
                <c:pt idx="2">
                  <c:v>13</c:v>
                </c:pt>
                <c:pt idx="3">
                  <c:v>7</c:v>
                </c:pt>
                <c:pt idx="4">
                  <c:v>8</c:v>
                </c:pt>
                <c:pt idx="5">
                  <c:v>13</c:v>
                </c:pt>
                <c:pt idx="6">
                  <c:v>8</c:v>
                </c:pt>
                <c:pt idx="7">
                  <c:v>4</c:v>
                </c:pt>
                <c:pt idx="8">
                  <c:v>9</c:v>
                </c:pt>
                <c:pt idx="9">
                  <c:v>9</c:v>
                </c:pt>
                <c:pt idx="10">
                  <c:v>3</c:v>
                </c:pt>
                <c:pt idx="11">
                  <c:v>8</c:v>
                </c:pt>
                <c:pt idx="12">
                  <c:v>6</c:v>
                </c:pt>
                <c:pt idx="13">
                  <c:v>12</c:v>
                </c:pt>
                <c:pt idx="14">
                  <c:v>8</c:v>
                </c:pt>
                <c:pt idx="15">
                  <c:v>9</c:v>
                </c:pt>
                <c:pt idx="16">
                  <c:v>6</c:v>
                </c:pt>
                <c:pt idx="17">
                  <c:v>6</c:v>
                </c:pt>
                <c:pt idx="18">
                  <c:v>12</c:v>
                </c:pt>
                <c:pt idx="19">
                  <c:v>10</c:v>
                </c:pt>
                <c:pt idx="20">
                  <c:v>8</c:v>
                </c:pt>
                <c:pt idx="21">
                  <c:v>10</c:v>
                </c:pt>
                <c:pt idx="22">
                  <c:v>2</c:v>
                </c:pt>
                <c:pt idx="23">
                  <c:v>10</c:v>
                </c:pt>
                <c:pt idx="24">
                  <c:v>8</c:v>
                </c:pt>
                <c:pt idx="25">
                  <c:v>14</c:v>
                </c:pt>
                <c:pt idx="26">
                  <c:v>7</c:v>
                </c:pt>
                <c:pt idx="27">
                  <c:v>9</c:v>
                </c:pt>
                <c:pt idx="28">
                  <c:v>8</c:v>
                </c:pt>
                <c:pt idx="29">
                  <c:v>4</c:v>
                </c:pt>
                <c:pt idx="30">
                  <c:v>8</c:v>
                </c:pt>
                <c:pt idx="31">
                  <c:v>5</c:v>
                </c:pt>
              </c:numCache>
            </c:numRef>
          </c:yVal>
          <c:smooth val="0"/>
        </c:ser>
        <c:dLbls>
          <c:showLegendKey val="0"/>
          <c:showVal val="0"/>
          <c:showCatName val="0"/>
          <c:showSerName val="0"/>
          <c:showPercent val="0"/>
          <c:showBubbleSize val="0"/>
        </c:dLbls>
        <c:axId val="977191976"/>
        <c:axId val="977192368"/>
      </c:scatterChart>
      <c:valAx>
        <c:axId val="977191976"/>
        <c:scaling>
          <c:orientation val="minMax"/>
        </c:scaling>
        <c:delete val="0"/>
        <c:axPos val="b"/>
        <c:title>
          <c:tx>
            <c:rich>
              <a:bodyPr/>
              <a:lstStyle/>
              <a:p>
                <a:pPr>
                  <a:defRPr sz="800" b="0"/>
                </a:pPr>
                <a:r>
                  <a:rPr lang="en-US"/>
                  <a:t>Salary 2006 / Data Set #1</a:t>
                </a:r>
              </a:p>
            </c:rich>
          </c:tx>
          <c:layout/>
          <c:overlay val="0"/>
        </c:title>
        <c:numFmt formatCode="General" sourceLinked="0"/>
        <c:majorTickMark val="out"/>
        <c:minorTickMark val="none"/>
        <c:tickLblPos val="nextTo"/>
        <c:txPr>
          <a:bodyPr/>
          <a:lstStyle/>
          <a:p>
            <a:pPr>
              <a:defRPr sz="800" b="0"/>
            </a:pPr>
            <a:endParaRPr lang="en-US"/>
          </a:p>
        </c:txPr>
        <c:crossAx val="977192368"/>
        <c:crosses val="autoZero"/>
        <c:crossBetween val="midCat"/>
      </c:valAx>
      <c:valAx>
        <c:axId val="977192368"/>
        <c:scaling>
          <c:orientation val="minMax"/>
        </c:scaling>
        <c:delete val="0"/>
        <c:axPos val="l"/>
        <c:title>
          <c:tx>
            <c:rich>
              <a:bodyPr/>
              <a:lstStyle/>
              <a:p>
                <a:pPr>
                  <a:defRPr sz="800" b="0"/>
                </a:pPr>
                <a:r>
                  <a:rPr lang="en-US"/>
                  <a:t>Wins 2006 / Data Set #1</a:t>
                </a:r>
              </a:p>
            </c:rich>
          </c:tx>
          <c:layout/>
          <c:overlay val="0"/>
        </c:title>
        <c:numFmt formatCode="General" sourceLinked="0"/>
        <c:majorTickMark val="out"/>
        <c:minorTickMark val="none"/>
        <c:tickLblPos val="nextTo"/>
        <c:txPr>
          <a:bodyPr/>
          <a:lstStyle/>
          <a:p>
            <a:pPr>
              <a:defRPr sz="800" b="0"/>
            </a:pPr>
            <a:endParaRPr lang="en-US"/>
          </a:p>
        </c:txPr>
        <c:crossAx val="977191976"/>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Wins 2007 vs Salary 2007 of Data Set #1</a:t>
            </a:r>
          </a:p>
        </c:rich>
      </c:tx>
      <c:layout/>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Scatterplot!ScatterX_4530</c:f>
              <c:numCache>
                <c:formatCode>General</c:formatCode>
                <c:ptCount val="32"/>
                <c:pt idx="0">
                  <c:v>1731488</c:v>
                </c:pt>
                <c:pt idx="1">
                  <c:v>1374514</c:v>
                </c:pt>
                <c:pt idx="2">
                  <c:v>1784851</c:v>
                </c:pt>
                <c:pt idx="3">
                  <c:v>1842066</c:v>
                </c:pt>
                <c:pt idx="4">
                  <c:v>1627375</c:v>
                </c:pt>
                <c:pt idx="5">
                  <c:v>1796402</c:v>
                </c:pt>
                <c:pt idx="6">
                  <c:v>1563955</c:v>
                </c:pt>
                <c:pt idx="7">
                  <c:v>1677576</c:v>
                </c:pt>
                <c:pt idx="8">
                  <c:v>1731396</c:v>
                </c:pt>
                <c:pt idx="9">
                  <c:v>1952292</c:v>
                </c:pt>
                <c:pt idx="10">
                  <c:v>1778865</c:v>
                </c:pt>
                <c:pt idx="11">
                  <c:v>1600882</c:v>
                </c:pt>
                <c:pt idx="12">
                  <c:v>1487194</c:v>
                </c:pt>
                <c:pt idx="13">
                  <c:v>1772179</c:v>
                </c:pt>
                <c:pt idx="14">
                  <c:v>1541488</c:v>
                </c:pt>
                <c:pt idx="15">
                  <c:v>1937187</c:v>
                </c:pt>
                <c:pt idx="16">
                  <c:v>1624090</c:v>
                </c:pt>
                <c:pt idx="17">
                  <c:v>1616876</c:v>
                </c:pt>
                <c:pt idx="18">
                  <c:v>1902632</c:v>
                </c:pt>
                <c:pt idx="19">
                  <c:v>1971732</c:v>
                </c:pt>
                <c:pt idx="20">
                  <c:v>1221861</c:v>
                </c:pt>
                <c:pt idx="21">
                  <c:v>1666192</c:v>
                </c:pt>
                <c:pt idx="22">
                  <c:v>1594208</c:v>
                </c:pt>
                <c:pt idx="23">
                  <c:v>1708598</c:v>
                </c:pt>
                <c:pt idx="24">
                  <c:v>2005546</c:v>
                </c:pt>
                <c:pt idx="25">
                  <c:v>1862922</c:v>
                </c:pt>
                <c:pt idx="26">
                  <c:v>1811476</c:v>
                </c:pt>
                <c:pt idx="27">
                  <c:v>1760359</c:v>
                </c:pt>
                <c:pt idx="28">
                  <c:v>1777986</c:v>
                </c:pt>
                <c:pt idx="29">
                  <c:v>1509316</c:v>
                </c:pt>
                <c:pt idx="30">
                  <c:v>1645443</c:v>
                </c:pt>
                <c:pt idx="31">
                  <c:v>2091661</c:v>
                </c:pt>
              </c:numCache>
            </c:numRef>
          </c:xVal>
          <c:yVal>
            <c:numRef>
              <c:f>Scatterplot!ScatterY_4530</c:f>
              <c:numCache>
                <c:formatCode>General</c:formatCode>
                <c:ptCount val="32"/>
                <c:pt idx="0">
                  <c:v>8</c:v>
                </c:pt>
                <c:pt idx="1">
                  <c:v>4</c:v>
                </c:pt>
                <c:pt idx="2">
                  <c:v>5</c:v>
                </c:pt>
                <c:pt idx="3">
                  <c:v>7</c:v>
                </c:pt>
                <c:pt idx="4">
                  <c:v>7</c:v>
                </c:pt>
                <c:pt idx="5">
                  <c:v>7</c:v>
                </c:pt>
                <c:pt idx="6">
                  <c:v>7</c:v>
                </c:pt>
                <c:pt idx="7">
                  <c:v>10</c:v>
                </c:pt>
                <c:pt idx="8">
                  <c:v>13</c:v>
                </c:pt>
                <c:pt idx="9">
                  <c:v>7</c:v>
                </c:pt>
                <c:pt idx="10">
                  <c:v>7</c:v>
                </c:pt>
                <c:pt idx="11">
                  <c:v>13</c:v>
                </c:pt>
                <c:pt idx="12">
                  <c:v>8</c:v>
                </c:pt>
                <c:pt idx="13">
                  <c:v>13</c:v>
                </c:pt>
                <c:pt idx="14">
                  <c:v>11</c:v>
                </c:pt>
                <c:pt idx="15">
                  <c:v>4</c:v>
                </c:pt>
                <c:pt idx="16">
                  <c:v>1</c:v>
                </c:pt>
                <c:pt idx="17">
                  <c:v>8</c:v>
                </c:pt>
                <c:pt idx="18">
                  <c:v>16</c:v>
                </c:pt>
                <c:pt idx="19">
                  <c:v>7</c:v>
                </c:pt>
                <c:pt idx="20">
                  <c:v>10</c:v>
                </c:pt>
                <c:pt idx="21">
                  <c:v>4</c:v>
                </c:pt>
                <c:pt idx="22">
                  <c:v>4</c:v>
                </c:pt>
                <c:pt idx="23">
                  <c:v>8</c:v>
                </c:pt>
                <c:pt idx="24">
                  <c:v>10</c:v>
                </c:pt>
                <c:pt idx="25">
                  <c:v>11</c:v>
                </c:pt>
                <c:pt idx="26">
                  <c:v>5</c:v>
                </c:pt>
                <c:pt idx="27">
                  <c:v>10</c:v>
                </c:pt>
                <c:pt idx="28">
                  <c:v>3</c:v>
                </c:pt>
                <c:pt idx="29">
                  <c:v>9</c:v>
                </c:pt>
                <c:pt idx="30">
                  <c:v>10</c:v>
                </c:pt>
                <c:pt idx="31">
                  <c:v>9</c:v>
                </c:pt>
              </c:numCache>
            </c:numRef>
          </c:yVal>
          <c:smooth val="0"/>
        </c:ser>
        <c:dLbls>
          <c:showLegendKey val="0"/>
          <c:showVal val="0"/>
          <c:showCatName val="0"/>
          <c:showSerName val="0"/>
          <c:showPercent val="0"/>
          <c:showBubbleSize val="0"/>
        </c:dLbls>
        <c:axId val="1150999136"/>
        <c:axId val="1150998744"/>
      </c:scatterChart>
      <c:valAx>
        <c:axId val="1150999136"/>
        <c:scaling>
          <c:orientation val="minMax"/>
        </c:scaling>
        <c:delete val="0"/>
        <c:axPos val="b"/>
        <c:title>
          <c:tx>
            <c:rich>
              <a:bodyPr/>
              <a:lstStyle/>
              <a:p>
                <a:pPr>
                  <a:defRPr sz="800" b="0"/>
                </a:pPr>
                <a:r>
                  <a:rPr lang="en-US"/>
                  <a:t>Salary 2007 / Data Set #1</a:t>
                </a:r>
              </a:p>
            </c:rich>
          </c:tx>
          <c:layout/>
          <c:overlay val="0"/>
        </c:title>
        <c:numFmt formatCode="General" sourceLinked="0"/>
        <c:majorTickMark val="out"/>
        <c:minorTickMark val="none"/>
        <c:tickLblPos val="nextTo"/>
        <c:txPr>
          <a:bodyPr/>
          <a:lstStyle/>
          <a:p>
            <a:pPr>
              <a:defRPr sz="800" b="0"/>
            </a:pPr>
            <a:endParaRPr lang="en-US"/>
          </a:p>
        </c:txPr>
        <c:crossAx val="1150998744"/>
        <c:crosses val="autoZero"/>
        <c:crossBetween val="midCat"/>
      </c:valAx>
      <c:valAx>
        <c:axId val="1150998744"/>
        <c:scaling>
          <c:orientation val="minMax"/>
        </c:scaling>
        <c:delete val="0"/>
        <c:axPos val="l"/>
        <c:title>
          <c:tx>
            <c:rich>
              <a:bodyPr/>
              <a:lstStyle/>
              <a:p>
                <a:pPr>
                  <a:defRPr sz="800" b="0"/>
                </a:pPr>
                <a:r>
                  <a:rPr lang="en-US"/>
                  <a:t>Wins 2007 / Data Set #1</a:t>
                </a:r>
              </a:p>
            </c:rich>
          </c:tx>
          <c:layout/>
          <c:overlay val="0"/>
        </c:title>
        <c:numFmt formatCode="General" sourceLinked="0"/>
        <c:majorTickMark val="out"/>
        <c:minorTickMark val="none"/>
        <c:tickLblPos val="nextTo"/>
        <c:txPr>
          <a:bodyPr/>
          <a:lstStyle/>
          <a:p>
            <a:pPr>
              <a:defRPr sz="800" b="0"/>
            </a:pPr>
            <a:endParaRPr lang="en-US"/>
          </a:p>
        </c:txPr>
        <c:crossAx val="1150999136"/>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Wins 2008 vs Salary 2008 of Data Set #1</a:t>
            </a:r>
          </a:p>
        </c:rich>
      </c:tx>
      <c:layout/>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Scatterplot!ScatterX_55AC6</c:f>
              <c:numCache>
                <c:formatCode>General</c:formatCode>
                <c:ptCount val="32"/>
                <c:pt idx="0">
                  <c:v>2220184</c:v>
                </c:pt>
                <c:pt idx="1">
                  <c:v>1633755</c:v>
                </c:pt>
                <c:pt idx="2">
                  <c:v>2024374</c:v>
                </c:pt>
                <c:pt idx="3">
                  <c:v>1511899</c:v>
                </c:pt>
                <c:pt idx="4">
                  <c:v>2223441</c:v>
                </c:pt>
                <c:pt idx="5">
                  <c:v>2198605</c:v>
                </c:pt>
                <c:pt idx="6">
                  <c:v>1798818</c:v>
                </c:pt>
                <c:pt idx="7">
                  <c:v>2038449</c:v>
                </c:pt>
                <c:pt idx="8">
                  <c:v>1648272</c:v>
                </c:pt>
                <c:pt idx="9">
                  <c:v>2762294</c:v>
                </c:pt>
                <c:pt idx="10">
                  <c:v>1597119</c:v>
                </c:pt>
                <c:pt idx="11">
                  <c:v>1621005</c:v>
                </c:pt>
                <c:pt idx="12">
                  <c:v>1749120</c:v>
                </c:pt>
                <c:pt idx="13">
                  <c:v>1638139</c:v>
                </c:pt>
                <c:pt idx="14">
                  <c:v>1907956</c:v>
                </c:pt>
                <c:pt idx="15">
                  <c:v>1520432</c:v>
                </c:pt>
                <c:pt idx="16">
                  <c:v>1943215</c:v>
                </c:pt>
                <c:pt idx="17">
                  <c:v>2260238</c:v>
                </c:pt>
                <c:pt idx="18">
                  <c:v>1520231</c:v>
                </c:pt>
                <c:pt idx="19">
                  <c:v>2267790</c:v>
                </c:pt>
                <c:pt idx="20">
                  <c:v>1898626</c:v>
                </c:pt>
                <c:pt idx="21">
                  <c:v>2051054</c:v>
                </c:pt>
                <c:pt idx="22">
                  <c:v>2539823</c:v>
                </c:pt>
                <c:pt idx="23">
                  <c:v>1956382</c:v>
                </c:pt>
                <c:pt idx="24">
                  <c:v>2111722</c:v>
                </c:pt>
                <c:pt idx="25">
                  <c:v>2032970</c:v>
                </c:pt>
                <c:pt idx="26">
                  <c:v>2120826</c:v>
                </c:pt>
                <c:pt idx="27">
                  <c:v>1977587</c:v>
                </c:pt>
                <c:pt idx="28">
                  <c:v>1634694</c:v>
                </c:pt>
                <c:pt idx="29">
                  <c:v>1830339</c:v>
                </c:pt>
                <c:pt idx="30">
                  <c:v>2291226</c:v>
                </c:pt>
                <c:pt idx="31">
                  <c:v>1964275</c:v>
                </c:pt>
              </c:numCache>
            </c:numRef>
          </c:xVal>
          <c:yVal>
            <c:numRef>
              <c:f>Scatterplot!ScatterY_55AC6</c:f>
              <c:numCache>
                <c:formatCode>General</c:formatCode>
                <c:ptCount val="32"/>
                <c:pt idx="0">
                  <c:v>9</c:v>
                </c:pt>
                <c:pt idx="1">
                  <c:v>11</c:v>
                </c:pt>
                <c:pt idx="2">
                  <c:v>11</c:v>
                </c:pt>
                <c:pt idx="3">
                  <c:v>7</c:v>
                </c:pt>
                <c:pt idx="4">
                  <c:v>12</c:v>
                </c:pt>
                <c:pt idx="5">
                  <c:v>9</c:v>
                </c:pt>
                <c:pt idx="6">
                  <c:v>4.5</c:v>
                </c:pt>
                <c:pt idx="7">
                  <c:v>4</c:v>
                </c:pt>
                <c:pt idx="8">
                  <c:v>9</c:v>
                </c:pt>
                <c:pt idx="9">
                  <c:v>8</c:v>
                </c:pt>
                <c:pt idx="10">
                  <c:v>0</c:v>
                </c:pt>
                <c:pt idx="11">
                  <c:v>6</c:v>
                </c:pt>
                <c:pt idx="12">
                  <c:v>8</c:v>
                </c:pt>
                <c:pt idx="13">
                  <c:v>12</c:v>
                </c:pt>
                <c:pt idx="14">
                  <c:v>5</c:v>
                </c:pt>
                <c:pt idx="15">
                  <c:v>2</c:v>
                </c:pt>
                <c:pt idx="16">
                  <c:v>11</c:v>
                </c:pt>
                <c:pt idx="17">
                  <c:v>10</c:v>
                </c:pt>
                <c:pt idx="18">
                  <c:v>11</c:v>
                </c:pt>
                <c:pt idx="19">
                  <c:v>8</c:v>
                </c:pt>
                <c:pt idx="20">
                  <c:v>12</c:v>
                </c:pt>
                <c:pt idx="21">
                  <c:v>9</c:v>
                </c:pt>
                <c:pt idx="22">
                  <c:v>5</c:v>
                </c:pt>
                <c:pt idx="23">
                  <c:v>9.5</c:v>
                </c:pt>
                <c:pt idx="24">
                  <c:v>12</c:v>
                </c:pt>
                <c:pt idx="25">
                  <c:v>8</c:v>
                </c:pt>
                <c:pt idx="26">
                  <c:v>7</c:v>
                </c:pt>
                <c:pt idx="27">
                  <c:v>4</c:v>
                </c:pt>
                <c:pt idx="28">
                  <c:v>2</c:v>
                </c:pt>
                <c:pt idx="29">
                  <c:v>9</c:v>
                </c:pt>
                <c:pt idx="30">
                  <c:v>13</c:v>
                </c:pt>
                <c:pt idx="31">
                  <c:v>8</c:v>
                </c:pt>
              </c:numCache>
            </c:numRef>
          </c:yVal>
          <c:smooth val="0"/>
        </c:ser>
        <c:dLbls>
          <c:showLegendKey val="0"/>
          <c:showVal val="0"/>
          <c:showCatName val="0"/>
          <c:showSerName val="0"/>
          <c:showPercent val="0"/>
          <c:showBubbleSize val="0"/>
        </c:dLbls>
        <c:axId val="1150999528"/>
        <c:axId val="1151001880"/>
      </c:scatterChart>
      <c:valAx>
        <c:axId val="1150999528"/>
        <c:scaling>
          <c:orientation val="minMax"/>
        </c:scaling>
        <c:delete val="0"/>
        <c:axPos val="b"/>
        <c:title>
          <c:tx>
            <c:rich>
              <a:bodyPr/>
              <a:lstStyle/>
              <a:p>
                <a:pPr>
                  <a:defRPr sz="800" b="0"/>
                </a:pPr>
                <a:r>
                  <a:rPr lang="en-US"/>
                  <a:t>Salary 2008 / Data Set #1</a:t>
                </a:r>
              </a:p>
            </c:rich>
          </c:tx>
          <c:layout/>
          <c:overlay val="0"/>
        </c:title>
        <c:numFmt formatCode="General" sourceLinked="0"/>
        <c:majorTickMark val="out"/>
        <c:minorTickMark val="none"/>
        <c:tickLblPos val="nextTo"/>
        <c:txPr>
          <a:bodyPr/>
          <a:lstStyle/>
          <a:p>
            <a:pPr>
              <a:defRPr sz="800" b="0"/>
            </a:pPr>
            <a:endParaRPr lang="en-US"/>
          </a:p>
        </c:txPr>
        <c:crossAx val="1151001880"/>
        <c:crosses val="autoZero"/>
        <c:crossBetween val="midCat"/>
      </c:valAx>
      <c:valAx>
        <c:axId val="1151001880"/>
        <c:scaling>
          <c:orientation val="minMax"/>
        </c:scaling>
        <c:delete val="0"/>
        <c:axPos val="l"/>
        <c:title>
          <c:tx>
            <c:rich>
              <a:bodyPr/>
              <a:lstStyle/>
              <a:p>
                <a:pPr>
                  <a:defRPr sz="800" b="0"/>
                </a:pPr>
                <a:r>
                  <a:rPr lang="en-US"/>
                  <a:t>Wins 2008 / Data Set #1</a:t>
                </a:r>
              </a:p>
            </c:rich>
          </c:tx>
          <c:layout/>
          <c:overlay val="0"/>
        </c:title>
        <c:numFmt formatCode="General" sourceLinked="0"/>
        <c:majorTickMark val="out"/>
        <c:minorTickMark val="none"/>
        <c:tickLblPos val="nextTo"/>
        <c:txPr>
          <a:bodyPr/>
          <a:lstStyle/>
          <a:p>
            <a:pPr>
              <a:defRPr sz="800" b="0"/>
            </a:pPr>
            <a:endParaRPr lang="en-US"/>
          </a:p>
        </c:txPr>
        <c:crossAx val="1150999528"/>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Wins 2009 vs Salary 2009 of Data Set #1</a:t>
            </a:r>
          </a:p>
        </c:rich>
      </c:tx>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Scatterplot!ScatterX_6BE7E</c:f>
              <c:numCache>
                <c:formatCode>General</c:formatCode>
                <c:ptCount val="32"/>
                <c:pt idx="0">
                  <c:v>1984619</c:v>
                </c:pt>
                <c:pt idx="1">
                  <c:v>1728417</c:v>
                </c:pt>
                <c:pt idx="2">
                  <c:v>1795138</c:v>
                </c:pt>
                <c:pt idx="3">
                  <c:v>1765923</c:v>
                </c:pt>
                <c:pt idx="4">
                  <c:v>1947645</c:v>
                </c:pt>
                <c:pt idx="5">
                  <c:v>2154859</c:v>
                </c:pt>
                <c:pt idx="6">
                  <c:v>1617941</c:v>
                </c:pt>
                <c:pt idx="7">
                  <c:v>1647933</c:v>
                </c:pt>
                <c:pt idx="8">
                  <c:v>1613231</c:v>
                </c:pt>
                <c:pt idx="9">
                  <c:v>1918089</c:v>
                </c:pt>
                <c:pt idx="10">
                  <c:v>1693397</c:v>
                </c:pt>
                <c:pt idx="11">
                  <c:v>1909660</c:v>
                </c:pt>
                <c:pt idx="12">
                  <c:v>2037644</c:v>
                </c:pt>
                <c:pt idx="13">
                  <c:v>1782086</c:v>
                </c:pt>
                <c:pt idx="14">
                  <c:v>1875074</c:v>
                </c:pt>
                <c:pt idx="15">
                  <c:v>1410856</c:v>
                </c:pt>
                <c:pt idx="16">
                  <c:v>2225542</c:v>
                </c:pt>
                <c:pt idx="17">
                  <c:v>1919269</c:v>
                </c:pt>
                <c:pt idx="18">
                  <c:v>1642595</c:v>
                </c:pt>
                <c:pt idx="19">
                  <c:v>1992663</c:v>
                </c:pt>
                <c:pt idx="20">
                  <c:v>2470623</c:v>
                </c:pt>
                <c:pt idx="21">
                  <c:v>2079904</c:v>
                </c:pt>
                <c:pt idx="22">
                  <c:v>2065319</c:v>
                </c:pt>
                <c:pt idx="23">
                  <c:v>1817122</c:v>
                </c:pt>
                <c:pt idx="24">
                  <c:v>2056775</c:v>
                </c:pt>
                <c:pt idx="25">
                  <c:v>2025154</c:v>
                </c:pt>
                <c:pt idx="26">
                  <c:v>1957339</c:v>
                </c:pt>
                <c:pt idx="27">
                  <c:v>1649552</c:v>
                </c:pt>
                <c:pt idx="28">
                  <c:v>1661798</c:v>
                </c:pt>
                <c:pt idx="29">
                  <c:v>1458497</c:v>
                </c:pt>
                <c:pt idx="30">
                  <c:v>2141397</c:v>
                </c:pt>
                <c:pt idx="31">
                  <c:v>1784886</c:v>
                </c:pt>
              </c:numCache>
            </c:numRef>
          </c:xVal>
          <c:yVal>
            <c:numRef>
              <c:f>Scatterplot!ScatterY_6BE7E</c:f>
              <c:numCache>
                <c:formatCode>General</c:formatCode>
                <c:ptCount val="32"/>
                <c:pt idx="0">
                  <c:v>10</c:v>
                </c:pt>
                <c:pt idx="1">
                  <c:v>9</c:v>
                </c:pt>
                <c:pt idx="2">
                  <c:v>9</c:v>
                </c:pt>
                <c:pt idx="3">
                  <c:v>6</c:v>
                </c:pt>
                <c:pt idx="4">
                  <c:v>8</c:v>
                </c:pt>
                <c:pt idx="5">
                  <c:v>7</c:v>
                </c:pt>
                <c:pt idx="6">
                  <c:v>10</c:v>
                </c:pt>
                <c:pt idx="7">
                  <c:v>5</c:v>
                </c:pt>
                <c:pt idx="8">
                  <c:v>11</c:v>
                </c:pt>
                <c:pt idx="9">
                  <c:v>8</c:v>
                </c:pt>
                <c:pt idx="10">
                  <c:v>2</c:v>
                </c:pt>
                <c:pt idx="11">
                  <c:v>11</c:v>
                </c:pt>
                <c:pt idx="12">
                  <c:v>9</c:v>
                </c:pt>
                <c:pt idx="13">
                  <c:v>14</c:v>
                </c:pt>
                <c:pt idx="14">
                  <c:v>7</c:v>
                </c:pt>
                <c:pt idx="15">
                  <c:v>4</c:v>
                </c:pt>
                <c:pt idx="16">
                  <c:v>7</c:v>
                </c:pt>
                <c:pt idx="17">
                  <c:v>12</c:v>
                </c:pt>
                <c:pt idx="18">
                  <c:v>10</c:v>
                </c:pt>
                <c:pt idx="19">
                  <c:v>13</c:v>
                </c:pt>
                <c:pt idx="20">
                  <c:v>8</c:v>
                </c:pt>
                <c:pt idx="21">
                  <c:v>9</c:v>
                </c:pt>
                <c:pt idx="22">
                  <c:v>5</c:v>
                </c:pt>
                <c:pt idx="23">
                  <c:v>11</c:v>
                </c:pt>
                <c:pt idx="24">
                  <c:v>9</c:v>
                </c:pt>
                <c:pt idx="25">
                  <c:v>13</c:v>
                </c:pt>
                <c:pt idx="26">
                  <c:v>8</c:v>
                </c:pt>
                <c:pt idx="27">
                  <c:v>5</c:v>
                </c:pt>
                <c:pt idx="28">
                  <c:v>1</c:v>
                </c:pt>
                <c:pt idx="29">
                  <c:v>3</c:v>
                </c:pt>
                <c:pt idx="30">
                  <c:v>8</c:v>
                </c:pt>
                <c:pt idx="31">
                  <c:v>4</c:v>
                </c:pt>
              </c:numCache>
            </c:numRef>
          </c:yVal>
          <c:smooth val="0"/>
        </c:ser>
        <c:dLbls>
          <c:showLegendKey val="0"/>
          <c:showVal val="0"/>
          <c:showCatName val="0"/>
          <c:showSerName val="0"/>
          <c:showPercent val="0"/>
          <c:showBubbleSize val="0"/>
        </c:dLbls>
        <c:axId val="1150999920"/>
        <c:axId val="966842528"/>
      </c:scatterChart>
      <c:valAx>
        <c:axId val="1150999920"/>
        <c:scaling>
          <c:orientation val="minMax"/>
        </c:scaling>
        <c:delete val="0"/>
        <c:axPos val="b"/>
        <c:title>
          <c:tx>
            <c:rich>
              <a:bodyPr/>
              <a:lstStyle/>
              <a:p>
                <a:pPr>
                  <a:defRPr sz="800" b="0"/>
                </a:pPr>
                <a:r>
                  <a:rPr lang="en-US"/>
                  <a:t>Salary 2009 / Data Set #1</a:t>
                </a:r>
              </a:p>
            </c:rich>
          </c:tx>
          <c:overlay val="0"/>
        </c:title>
        <c:numFmt formatCode="General" sourceLinked="0"/>
        <c:majorTickMark val="out"/>
        <c:minorTickMark val="none"/>
        <c:tickLblPos val="nextTo"/>
        <c:txPr>
          <a:bodyPr/>
          <a:lstStyle/>
          <a:p>
            <a:pPr>
              <a:defRPr sz="800" b="0"/>
            </a:pPr>
            <a:endParaRPr lang="en-US"/>
          </a:p>
        </c:txPr>
        <c:crossAx val="966842528"/>
        <c:crosses val="autoZero"/>
        <c:crossBetween val="midCat"/>
      </c:valAx>
      <c:valAx>
        <c:axId val="966842528"/>
        <c:scaling>
          <c:orientation val="minMax"/>
        </c:scaling>
        <c:delete val="0"/>
        <c:axPos val="l"/>
        <c:title>
          <c:tx>
            <c:rich>
              <a:bodyPr/>
              <a:lstStyle/>
              <a:p>
                <a:pPr>
                  <a:defRPr sz="800" b="0"/>
                </a:pPr>
                <a:r>
                  <a:rPr lang="en-US"/>
                  <a:t>Wins 2009 / Data Set #1</a:t>
                </a:r>
              </a:p>
            </c:rich>
          </c:tx>
          <c:overlay val="0"/>
        </c:title>
        <c:numFmt formatCode="General" sourceLinked="0"/>
        <c:majorTickMark val="out"/>
        <c:minorTickMark val="none"/>
        <c:tickLblPos val="nextTo"/>
        <c:txPr>
          <a:bodyPr/>
          <a:lstStyle/>
          <a:p>
            <a:pPr>
              <a:defRPr sz="800" b="0"/>
            </a:pPr>
            <a:endParaRPr lang="en-US"/>
          </a:p>
        </c:txPr>
        <c:crossAx val="1150999920"/>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drawings/_rels/drawing4.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342900</xdr:colOff>
      <xdr:row>1</xdr:row>
      <xdr:rowOff>47625</xdr:rowOff>
    </xdr:from>
    <xdr:to>
      <xdr:col>10</xdr:col>
      <xdr:colOff>333375</xdr:colOff>
      <xdr:row>8</xdr:row>
      <xdr:rowOff>104775</xdr:rowOff>
    </xdr:to>
    <xdr:sp macro="" textlink="">
      <xdr:nvSpPr>
        <xdr:cNvPr id="2" name="TextBox 1"/>
        <xdr:cNvSpPr txBox="1"/>
      </xdr:nvSpPr>
      <xdr:spPr>
        <a:xfrm>
          <a:off x="342900" y="238125"/>
          <a:ext cx="6086475" cy="139065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vert="horz" rtlCol="0" anchor="t"/>
        <a:lstStyle/>
        <a:p>
          <a:r>
            <a:rPr lang="en-US" sz="1100"/>
            <a:t>http://content.usatoday.com/sports/football/nfl/salaries/teamdetail.aspx?team=1&amp;year=2009 ,</a:t>
          </a:r>
        </a:p>
        <a:p>
          <a:r>
            <a:rPr lang="en-US" sz="1100" baseline="0"/>
            <a:t>http://sports.yahoo.com/nfl/standings?year=season_2009,</a:t>
          </a:r>
        </a:p>
        <a:p>
          <a:r>
            <a:rPr lang="en-US" sz="1100" baseline="0"/>
            <a:t>http://www.nfl.com/scores/2009/POST18</a:t>
          </a:r>
        </a:p>
        <a:p>
          <a:endParaRPr lang="en-US" sz="1100" baseline="0"/>
        </a:p>
        <a:p>
          <a:r>
            <a:rPr lang="en-US" sz="1100" baseline="0"/>
            <a:t>I wrote a couple of macros to import the data, team by team, year by year, and then rearrange the data as shown here. Then I used a pivot table to get team average salaries.</a:t>
          </a:r>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152400</xdr:colOff>
      <xdr:row>17</xdr:row>
      <xdr:rowOff>28576</xdr:rowOff>
    </xdr:from>
    <xdr:to>
      <xdr:col>5</xdr:col>
      <xdr:colOff>323850</xdr:colOff>
      <xdr:row>22</xdr:row>
      <xdr:rowOff>161926</xdr:rowOff>
    </xdr:to>
    <xdr:sp macro="" textlink="">
      <xdr:nvSpPr>
        <xdr:cNvPr id="2" name="TextBox 1"/>
        <xdr:cNvSpPr txBox="1"/>
      </xdr:nvSpPr>
      <xdr:spPr>
        <a:xfrm>
          <a:off x="1019175" y="2838451"/>
          <a:ext cx="3562350" cy="108585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These correlations are surprisingly small. Winners in one year are not necessarily winners the next year. Of course, with only 16 games per season, a few games</a:t>
          </a:r>
          <a:r>
            <a:rPr lang="en-US" sz="1100" baseline="0"/>
            <a:t> can make a big difference in the "success" of the season. This probably explains the low correlations.</a:t>
          </a:r>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447675</xdr:colOff>
      <xdr:row>18</xdr:row>
      <xdr:rowOff>66674</xdr:rowOff>
    </xdr:from>
    <xdr:to>
      <xdr:col>6</xdr:col>
      <xdr:colOff>352425</xdr:colOff>
      <xdr:row>26</xdr:row>
      <xdr:rowOff>38099</xdr:rowOff>
    </xdr:to>
    <xdr:sp macro="" textlink="">
      <xdr:nvSpPr>
        <xdr:cNvPr id="2" name="TextBox 1"/>
        <xdr:cNvSpPr txBox="1"/>
      </xdr:nvSpPr>
      <xdr:spPr>
        <a:xfrm>
          <a:off x="2162175" y="3352799"/>
          <a:ext cx="3295650" cy="149542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These correlations</a:t>
          </a:r>
          <a:r>
            <a:rPr lang="en-US" sz="1100" baseline="0"/>
            <a:t> are also surprisingly low. One possible reason (which could be confirmed or refuted with more analysis) is that all teams are basically paying about the same percentage increase each season except for some "noise" due to particular players. This noise could account for the low correlations.</a:t>
          </a:r>
          <a:endParaRPr 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12700</xdr:colOff>
      <xdr:row>6</xdr:row>
      <xdr:rowOff>0</xdr:rowOff>
    </xdr:from>
    <xdr:to>
      <xdr:col>4</xdr:col>
      <xdr:colOff>285750</xdr:colOff>
      <xdr:row>22</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12700</xdr:colOff>
      <xdr:row>6</xdr:row>
      <xdr:rowOff>0</xdr:rowOff>
    </xdr:from>
    <xdr:to>
      <xdr:col>10</xdr:col>
      <xdr:colOff>600075</xdr:colOff>
      <xdr:row>22</xdr:row>
      <xdr:rowOff>127000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11</xdr:col>
      <xdr:colOff>12700</xdr:colOff>
      <xdr:row>6</xdr:row>
      <xdr:rowOff>0</xdr:rowOff>
    </xdr:from>
    <xdr:to>
      <xdr:col>16</xdr:col>
      <xdr:colOff>600075</xdr:colOff>
      <xdr:row>22</xdr:row>
      <xdr:rowOff>127000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17</xdr:col>
      <xdr:colOff>12700</xdr:colOff>
      <xdr:row>6</xdr:row>
      <xdr:rowOff>0</xdr:rowOff>
    </xdr:from>
    <xdr:to>
      <xdr:col>22</xdr:col>
      <xdr:colOff>600075</xdr:colOff>
      <xdr:row>22</xdr:row>
      <xdr:rowOff>127000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12700</xdr:colOff>
      <xdr:row>25</xdr:row>
      <xdr:rowOff>0</xdr:rowOff>
    </xdr:from>
    <xdr:to>
      <xdr:col>4</xdr:col>
      <xdr:colOff>285750</xdr:colOff>
      <xdr:row>41</xdr:row>
      <xdr:rowOff>127000</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5</xdr:col>
      <xdr:colOff>12700</xdr:colOff>
      <xdr:row>25</xdr:row>
      <xdr:rowOff>0</xdr:rowOff>
    </xdr:from>
    <xdr:to>
      <xdr:col>10</xdr:col>
      <xdr:colOff>600075</xdr:colOff>
      <xdr:row>41</xdr:row>
      <xdr:rowOff>127000</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11</xdr:col>
      <xdr:colOff>12700</xdr:colOff>
      <xdr:row>25</xdr:row>
      <xdr:rowOff>0</xdr:rowOff>
    </xdr:from>
    <xdr:to>
      <xdr:col>16</xdr:col>
      <xdr:colOff>600075</xdr:colOff>
      <xdr:row>41</xdr:row>
      <xdr:rowOff>127000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17</xdr:col>
      <xdr:colOff>12700</xdr:colOff>
      <xdr:row>25</xdr:row>
      <xdr:rowOff>0</xdr:rowOff>
    </xdr:from>
    <xdr:to>
      <xdr:col>22</xdr:col>
      <xdr:colOff>600075</xdr:colOff>
      <xdr:row>41</xdr:row>
      <xdr:rowOff>127000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xdr:col>
      <xdr:colOff>66675</xdr:colOff>
      <xdr:row>13</xdr:row>
      <xdr:rowOff>66676</xdr:rowOff>
    </xdr:from>
    <xdr:to>
      <xdr:col>5</xdr:col>
      <xdr:colOff>133350</xdr:colOff>
      <xdr:row>18</xdr:row>
      <xdr:rowOff>180976</xdr:rowOff>
    </xdr:to>
    <xdr:sp macro="" textlink="">
      <xdr:nvSpPr>
        <xdr:cNvPr id="10" name="TextBox 9"/>
        <xdr:cNvSpPr txBox="1"/>
      </xdr:nvSpPr>
      <xdr:spPr>
        <a:xfrm>
          <a:off x="3771900" y="2400301"/>
          <a:ext cx="1762125" cy="106680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All of these</a:t>
          </a:r>
          <a:r>
            <a:rPr lang="en-US" sz="1100" baseline="0"/>
            <a:t> scatterplots are remarkably patternless. More pay doesn't tend to lead to more wins.</a:t>
          </a:r>
          <a:endParaRPr 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0</xdr:colOff>
      <xdr:row>9</xdr:row>
      <xdr:rowOff>1</xdr:rowOff>
    </xdr:from>
    <xdr:to>
      <xdr:col>9</xdr:col>
      <xdr:colOff>581025</xdr:colOff>
      <xdr:row>17</xdr:row>
      <xdr:rowOff>180975</xdr:rowOff>
    </xdr:to>
    <xdr:sp macro="" textlink="">
      <xdr:nvSpPr>
        <xdr:cNvPr id="2" name="TextBox 1"/>
        <xdr:cNvSpPr txBox="1"/>
      </xdr:nvSpPr>
      <xdr:spPr>
        <a:xfrm>
          <a:off x="4667250" y="1714501"/>
          <a:ext cx="3019425" cy="1704974"/>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After creating</a:t>
          </a:r>
          <a:r>
            <a:rPr lang="en-US" sz="1100" baseline="0"/>
            <a:t> the pivot tables of average salaries, one for each year, I calculated the percentage by which the playoff teams exceed the non-playoff team. They vary quite a lot from year to year, but except possibly for 2002, the playoff teams don't tend to pay more than the playoff teams. In some years, they actually pay less!</a:t>
          </a:r>
          <a:endParaRPr lang="en-US" sz="1100"/>
        </a:p>
      </xdr:txBody>
    </xdr:sp>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 Chris Albright" refreshedDate="40243.631058796294" createdVersion="3" refreshedVersion="3" minRefreshableVersion="3" recordCount="32">
  <cacheSource type="worksheet">
    <worksheetSource ref="A1:Y33" sheet="Data"/>
  </cacheSource>
  <cacheFields count="25">
    <cacheField name="Team" numFmtId="0">
      <sharedItems/>
    </cacheField>
    <cacheField name="Salary 2002" numFmtId="164">
      <sharedItems containsSemiMixedTypes="0" containsString="0" containsNumber="1" containsInteger="1" minValue="725823" maxValue="1661556"/>
    </cacheField>
    <cacheField name="Salary 2003" numFmtId="164">
      <sharedItems containsSemiMixedTypes="0" containsString="0" containsNumber="1" containsInteger="1" minValue="854758" maxValue="1533925"/>
    </cacheField>
    <cacheField name="Salary 2004" numFmtId="164">
      <sharedItems containsSemiMixedTypes="0" containsString="0" containsNumber="1" containsInteger="1" minValue="926968" maxValue="1638365"/>
    </cacheField>
    <cacheField name="Salary 2005" numFmtId="164">
      <sharedItems containsSemiMixedTypes="0" containsString="0" containsNumber="1" containsInteger="1" minValue="1011565" maxValue="1693100"/>
    </cacheField>
    <cacheField name="Salary 2006" numFmtId="164">
      <sharedItems containsSemiMixedTypes="0" containsString="0" containsNumber="1" containsInteger="1" minValue="1217324" maxValue="2261892"/>
    </cacheField>
    <cacheField name="Salary 2007" numFmtId="164">
      <sharedItems containsSemiMixedTypes="0" containsString="0" containsNumber="1" containsInteger="1" minValue="1221861" maxValue="2091661"/>
    </cacheField>
    <cacheField name="Salary 2008" numFmtId="164">
      <sharedItems containsSemiMixedTypes="0" containsString="0" containsNumber="1" containsInteger="1" minValue="1511899" maxValue="2762294"/>
    </cacheField>
    <cacheField name="Salary 2009" numFmtId="164">
      <sharedItems containsSemiMixedTypes="0" containsString="0" containsNumber="1" containsInteger="1" minValue="1410856" maxValue="2470623"/>
    </cacheField>
    <cacheField name="Wins 2002" numFmtId="0">
      <sharedItems containsSemiMixedTypes="0" containsString="0" containsNumber="1" minValue="2" maxValue="12"/>
    </cacheField>
    <cacheField name="Wins 2003" numFmtId="0">
      <sharedItems containsSemiMixedTypes="0" containsString="0" containsNumber="1" containsInteger="1" minValue="4" maxValue="14"/>
    </cacheField>
    <cacheField name="Wins 2004" numFmtId="0">
      <sharedItems containsSemiMixedTypes="0" containsString="0" containsNumber="1" containsInteger="1" minValue="2" maxValue="15"/>
    </cacheField>
    <cacheField name="Wins 2005" numFmtId="0">
      <sharedItems containsSemiMixedTypes="0" containsString="0" containsNumber="1" containsInteger="1" minValue="2" maxValue="14"/>
    </cacheField>
    <cacheField name="Wins 2006" numFmtId="0">
      <sharedItems containsSemiMixedTypes="0" containsString="0" containsNumber="1" containsInteger="1" minValue="2" maxValue="14"/>
    </cacheField>
    <cacheField name="Wins 2007" numFmtId="0">
      <sharedItems containsSemiMixedTypes="0" containsString="0" containsNumber="1" containsInteger="1" minValue="1" maxValue="16"/>
    </cacheField>
    <cacheField name="Wins 2008" numFmtId="0">
      <sharedItems containsSemiMixedTypes="0" containsString="0" containsNumber="1" minValue="0" maxValue="13"/>
    </cacheField>
    <cacheField name="Wins 2009" numFmtId="0">
      <sharedItems containsSemiMixedTypes="0" containsString="0" containsNumber="1" containsInteger="1" minValue="1" maxValue="14"/>
    </cacheField>
    <cacheField name="Playoffs 2002" numFmtId="0">
      <sharedItems count="2">
        <s v="No"/>
        <s v="Yes"/>
      </sharedItems>
    </cacheField>
    <cacheField name="Playoffs 2003" numFmtId="0">
      <sharedItems count="2">
        <s v="No"/>
        <s v="Yes"/>
      </sharedItems>
    </cacheField>
    <cacheField name="Playoffs 2004" numFmtId="0">
      <sharedItems count="2">
        <s v="No"/>
        <s v="Yes"/>
      </sharedItems>
    </cacheField>
    <cacheField name="Playoffs 2005" numFmtId="0">
      <sharedItems count="2">
        <s v="No"/>
        <s v="Yes"/>
      </sharedItems>
    </cacheField>
    <cacheField name="Playoffs 2006" numFmtId="0">
      <sharedItems count="2">
        <s v="No"/>
        <s v="Yes"/>
      </sharedItems>
    </cacheField>
    <cacheField name="Playoffs 2007" numFmtId="0">
      <sharedItems count="2">
        <s v="No"/>
        <s v="Yes"/>
      </sharedItems>
    </cacheField>
    <cacheField name="Playoffs 2008" numFmtId="0">
      <sharedItems count="2">
        <s v="Yes"/>
        <s v="No"/>
      </sharedItems>
    </cacheField>
    <cacheField name="Playoffs 2009" numFmtId="0">
      <sharedItems count="2">
        <s v="Yes"/>
        <s v="No"/>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32">
  <r>
    <s v="Arizona Cardinals"/>
    <n v="984817"/>
    <n v="1286269"/>
    <n v="1273570"/>
    <n v="1142376"/>
    <n v="1854139"/>
    <n v="1731488"/>
    <n v="2220184"/>
    <n v="1984619"/>
    <n v="5"/>
    <n v="4"/>
    <n v="6"/>
    <n v="5"/>
    <n v="5"/>
    <n v="8"/>
    <n v="9"/>
    <n v="10"/>
    <x v="0"/>
    <x v="0"/>
    <x v="0"/>
    <x v="0"/>
    <x v="0"/>
    <x v="0"/>
    <x v="0"/>
    <x v="0"/>
  </r>
  <r>
    <s v="Atlanta Falcons"/>
    <n v="1493423"/>
    <n v="1347004"/>
    <n v="1216342"/>
    <n v="1674356"/>
    <n v="1722495"/>
    <n v="1374514"/>
    <n v="1633755"/>
    <n v="1728417"/>
    <n v="9.5"/>
    <n v="5"/>
    <n v="11"/>
    <n v="8"/>
    <n v="7"/>
    <n v="4"/>
    <n v="11"/>
    <n v="9"/>
    <x v="1"/>
    <x v="0"/>
    <x v="1"/>
    <x v="0"/>
    <x v="0"/>
    <x v="0"/>
    <x v="0"/>
    <x v="1"/>
  </r>
  <r>
    <s v="Baltimore Ravens"/>
    <n v="1010225"/>
    <n v="1263782"/>
    <n v="1293068"/>
    <n v="1371822"/>
    <n v="1371599"/>
    <n v="1784851"/>
    <n v="2024374"/>
    <n v="1795138"/>
    <n v="7"/>
    <n v="10"/>
    <n v="9"/>
    <n v="6"/>
    <n v="13"/>
    <n v="5"/>
    <n v="11"/>
    <n v="9"/>
    <x v="0"/>
    <x v="1"/>
    <x v="0"/>
    <x v="0"/>
    <x v="1"/>
    <x v="0"/>
    <x v="0"/>
    <x v="0"/>
  </r>
  <r>
    <s v="Buffalo Bills"/>
    <n v="960548"/>
    <n v="1290753"/>
    <n v="1253305"/>
    <n v="1552449"/>
    <n v="1924082"/>
    <n v="1842066"/>
    <n v="1511899"/>
    <n v="1765923"/>
    <n v="8"/>
    <n v="6"/>
    <n v="9"/>
    <n v="5"/>
    <n v="7"/>
    <n v="7"/>
    <n v="7"/>
    <n v="6"/>
    <x v="0"/>
    <x v="0"/>
    <x v="0"/>
    <x v="0"/>
    <x v="0"/>
    <x v="0"/>
    <x v="1"/>
    <x v="1"/>
  </r>
  <r>
    <s v="Carolina Panthers"/>
    <n v="1088686"/>
    <n v="1314342"/>
    <n v="1272853"/>
    <n v="1206877"/>
    <n v="1553368"/>
    <n v="1627375"/>
    <n v="2223441"/>
    <n v="1947645"/>
    <n v="7"/>
    <n v="11"/>
    <n v="7"/>
    <n v="11"/>
    <n v="8"/>
    <n v="7"/>
    <n v="12"/>
    <n v="8"/>
    <x v="0"/>
    <x v="1"/>
    <x v="0"/>
    <x v="1"/>
    <x v="0"/>
    <x v="0"/>
    <x v="0"/>
    <x v="1"/>
  </r>
  <r>
    <s v="Chicago Bears"/>
    <n v="1094568"/>
    <n v="854758"/>
    <n v="1185517"/>
    <n v="1225088"/>
    <n v="1564848"/>
    <n v="1796402"/>
    <n v="2198605"/>
    <n v="2154859"/>
    <n v="4"/>
    <n v="7"/>
    <n v="5"/>
    <n v="11"/>
    <n v="13"/>
    <n v="7"/>
    <n v="9"/>
    <n v="7"/>
    <x v="0"/>
    <x v="0"/>
    <x v="0"/>
    <x v="1"/>
    <x v="1"/>
    <x v="0"/>
    <x v="1"/>
    <x v="1"/>
  </r>
  <r>
    <s v="Cincinnati Bengals"/>
    <n v="904181"/>
    <n v="1526022"/>
    <n v="969181"/>
    <n v="1226908"/>
    <n v="1738462"/>
    <n v="1563955"/>
    <n v="1798818"/>
    <n v="1617941"/>
    <n v="2"/>
    <n v="8"/>
    <n v="8"/>
    <n v="11"/>
    <n v="8"/>
    <n v="7"/>
    <n v="4.5"/>
    <n v="10"/>
    <x v="0"/>
    <x v="0"/>
    <x v="0"/>
    <x v="1"/>
    <x v="0"/>
    <x v="0"/>
    <x v="1"/>
    <x v="0"/>
  </r>
  <r>
    <s v="Cleveland Browns"/>
    <n v="820765"/>
    <n v="1250073"/>
    <n v="1219550"/>
    <n v="1478817"/>
    <n v="1806010"/>
    <n v="1677576"/>
    <n v="2038449"/>
    <n v="1647933"/>
    <n v="9"/>
    <n v="5"/>
    <n v="4"/>
    <n v="6"/>
    <n v="4"/>
    <n v="10"/>
    <n v="4"/>
    <n v="5"/>
    <x v="1"/>
    <x v="0"/>
    <x v="0"/>
    <x v="0"/>
    <x v="0"/>
    <x v="0"/>
    <x v="1"/>
    <x v="1"/>
  </r>
  <r>
    <s v="Dallas Cowboys"/>
    <n v="1097598"/>
    <n v="1028999"/>
    <n v="1036642"/>
    <n v="1563684"/>
    <n v="1599876"/>
    <n v="1731396"/>
    <n v="1648272"/>
    <n v="1613231"/>
    <n v="5"/>
    <n v="10"/>
    <n v="6"/>
    <n v="9"/>
    <n v="9"/>
    <n v="13"/>
    <n v="9"/>
    <n v="11"/>
    <x v="0"/>
    <x v="1"/>
    <x v="0"/>
    <x v="0"/>
    <x v="1"/>
    <x v="1"/>
    <x v="1"/>
    <x v="0"/>
  </r>
  <r>
    <s v="Denver Broncos"/>
    <n v="1176801"/>
    <n v="1373598"/>
    <n v="976261"/>
    <n v="1265151"/>
    <n v="1992902"/>
    <n v="1952292"/>
    <n v="2762294"/>
    <n v="1918089"/>
    <n v="9"/>
    <n v="10"/>
    <n v="10"/>
    <n v="13"/>
    <n v="9"/>
    <n v="7"/>
    <n v="8"/>
    <n v="8"/>
    <x v="0"/>
    <x v="1"/>
    <x v="1"/>
    <x v="1"/>
    <x v="0"/>
    <x v="0"/>
    <x v="1"/>
    <x v="1"/>
  </r>
  <r>
    <s v="Detroit Lions"/>
    <n v="960138"/>
    <n v="1142090"/>
    <n v="1455056"/>
    <n v="1388892"/>
    <n v="1628942"/>
    <n v="1778865"/>
    <n v="1597119"/>
    <n v="1693397"/>
    <n v="3"/>
    <n v="5"/>
    <n v="6"/>
    <n v="5"/>
    <n v="3"/>
    <n v="7"/>
    <n v="0"/>
    <n v="2"/>
    <x v="0"/>
    <x v="0"/>
    <x v="0"/>
    <x v="0"/>
    <x v="0"/>
    <x v="0"/>
    <x v="1"/>
    <x v="1"/>
  </r>
  <r>
    <s v="Green Bay Packers"/>
    <n v="847120"/>
    <n v="1206721"/>
    <n v="1199756"/>
    <n v="1011565"/>
    <n v="1540021"/>
    <n v="1600882"/>
    <n v="1621005"/>
    <n v="1909660"/>
    <n v="12"/>
    <n v="10"/>
    <n v="10"/>
    <n v="4"/>
    <n v="8"/>
    <n v="13"/>
    <n v="6"/>
    <n v="11"/>
    <x v="1"/>
    <x v="1"/>
    <x v="1"/>
    <x v="0"/>
    <x v="0"/>
    <x v="1"/>
    <x v="1"/>
    <x v="0"/>
  </r>
  <r>
    <s v="Houston Texans"/>
    <n v="1288927"/>
    <n v="1108450"/>
    <n v="1476873"/>
    <n v="1385485"/>
    <n v="1698061"/>
    <n v="1487194"/>
    <n v="1749120"/>
    <n v="2037644"/>
    <n v="4"/>
    <n v="5"/>
    <n v="7"/>
    <n v="2"/>
    <n v="6"/>
    <n v="8"/>
    <n v="8"/>
    <n v="9"/>
    <x v="0"/>
    <x v="0"/>
    <x v="0"/>
    <x v="0"/>
    <x v="0"/>
    <x v="0"/>
    <x v="1"/>
    <x v="1"/>
  </r>
  <r>
    <s v="Indianapolis Colts"/>
    <n v="1095478"/>
    <n v="1249970"/>
    <n v="1397109"/>
    <n v="1155606"/>
    <n v="2261892"/>
    <n v="1772179"/>
    <n v="1638139"/>
    <n v="1782086"/>
    <n v="10"/>
    <n v="12"/>
    <n v="12"/>
    <n v="14"/>
    <n v="12"/>
    <n v="13"/>
    <n v="12"/>
    <n v="14"/>
    <x v="1"/>
    <x v="1"/>
    <x v="1"/>
    <x v="1"/>
    <x v="1"/>
    <x v="1"/>
    <x v="0"/>
    <x v="0"/>
  </r>
  <r>
    <s v="Jacksonville Jaguars"/>
    <n v="826060"/>
    <n v="1269921"/>
    <n v="1045116"/>
    <n v="1388512"/>
    <n v="1526008"/>
    <n v="1541488"/>
    <n v="1907956"/>
    <n v="1875074"/>
    <n v="6"/>
    <n v="5"/>
    <n v="9"/>
    <n v="12"/>
    <n v="8"/>
    <n v="11"/>
    <n v="5"/>
    <n v="7"/>
    <x v="0"/>
    <x v="0"/>
    <x v="0"/>
    <x v="1"/>
    <x v="0"/>
    <x v="1"/>
    <x v="1"/>
    <x v="1"/>
  </r>
  <r>
    <s v="Kansas City Chiefs"/>
    <n v="1066518"/>
    <n v="1407165"/>
    <n v="1343137"/>
    <n v="1391161"/>
    <n v="1434176"/>
    <n v="1937187"/>
    <n v="1520432"/>
    <n v="1410856"/>
    <n v="8"/>
    <n v="13"/>
    <n v="7"/>
    <n v="10"/>
    <n v="9"/>
    <n v="4"/>
    <n v="2"/>
    <n v="4"/>
    <x v="0"/>
    <x v="1"/>
    <x v="0"/>
    <x v="0"/>
    <x v="1"/>
    <x v="0"/>
    <x v="1"/>
    <x v="1"/>
  </r>
  <r>
    <s v="Miami Dolphins"/>
    <n v="1056708"/>
    <n v="1070463"/>
    <n v="1304685"/>
    <n v="1074883"/>
    <n v="1683797"/>
    <n v="1624090"/>
    <n v="1943215"/>
    <n v="2225542"/>
    <n v="9"/>
    <n v="10"/>
    <n v="4"/>
    <n v="9"/>
    <n v="6"/>
    <n v="1"/>
    <n v="11"/>
    <n v="7"/>
    <x v="0"/>
    <x v="0"/>
    <x v="0"/>
    <x v="0"/>
    <x v="0"/>
    <x v="0"/>
    <x v="0"/>
    <x v="1"/>
  </r>
  <r>
    <s v="Minnesota Vikings"/>
    <n v="725823"/>
    <n v="1530712"/>
    <n v="1320114"/>
    <n v="1400097"/>
    <n v="2155619"/>
    <n v="1616876"/>
    <n v="2260238"/>
    <n v="1919269"/>
    <n v="6"/>
    <n v="9"/>
    <n v="8"/>
    <n v="9"/>
    <n v="6"/>
    <n v="8"/>
    <n v="10"/>
    <n v="12"/>
    <x v="0"/>
    <x v="0"/>
    <x v="1"/>
    <x v="0"/>
    <x v="0"/>
    <x v="0"/>
    <x v="0"/>
    <x v="0"/>
  </r>
  <r>
    <s v="New England Patriots"/>
    <n v="796464"/>
    <n v="1324649"/>
    <n v="1149241"/>
    <n v="1409090"/>
    <n v="1695331"/>
    <n v="1902632"/>
    <n v="1520231"/>
    <n v="1642595"/>
    <n v="9"/>
    <n v="14"/>
    <n v="14"/>
    <n v="10"/>
    <n v="12"/>
    <n v="16"/>
    <n v="11"/>
    <n v="10"/>
    <x v="0"/>
    <x v="1"/>
    <x v="1"/>
    <x v="1"/>
    <x v="1"/>
    <x v="1"/>
    <x v="1"/>
    <x v="0"/>
  </r>
  <r>
    <s v="New Orleans Saints"/>
    <n v="1004886"/>
    <n v="1533925"/>
    <n v="1182646"/>
    <n v="1477344"/>
    <n v="1542734"/>
    <n v="1971732"/>
    <n v="2267790"/>
    <n v="1992663"/>
    <n v="9"/>
    <n v="8"/>
    <n v="8"/>
    <n v="3"/>
    <n v="10"/>
    <n v="7"/>
    <n v="8"/>
    <n v="13"/>
    <x v="0"/>
    <x v="0"/>
    <x v="0"/>
    <x v="0"/>
    <x v="1"/>
    <x v="0"/>
    <x v="1"/>
    <x v="0"/>
  </r>
  <r>
    <s v="New York Giants"/>
    <n v="1179291"/>
    <n v="1183717"/>
    <n v="1100848"/>
    <n v="1396990"/>
    <n v="1865456"/>
    <n v="1221861"/>
    <n v="1898626"/>
    <n v="2470623"/>
    <n v="10"/>
    <n v="4"/>
    <n v="6"/>
    <n v="11"/>
    <n v="8"/>
    <n v="10"/>
    <n v="12"/>
    <n v="8"/>
    <x v="1"/>
    <x v="0"/>
    <x v="0"/>
    <x v="1"/>
    <x v="1"/>
    <x v="1"/>
    <x v="0"/>
    <x v="1"/>
  </r>
  <r>
    <s v="New York Jets"/>
    <n v="1661556"/>
    <n v="1214208"/>
    <n v="1538791"/>
    <n v="1202217"/>
    <n v="1538319"/>
    <n v="1666192"/>
    <n v="2051054"/>
    <n v="2079904"/>
    <n v="9"/>
    <n v="6"/>
    <n v="10"/>
    <n v="4"/>
    <n v="10"/>
    <n v="4"/>
    <n v="9"/>
    <n v="9"/>
    <x v="1"/>
    <x v="0"/>
    <x v="1"/>
    <x v="0"/>
    <x v="1"/>
    <x v="0"/>
    <x v="1"/>
    <x v="0"/>
  </r>
  <r>
    <s v="Oakland Raiders"/>
    <n v="1447097"/>
    <n v="1134922"/>
    <n v="1208893"/>
    <n v="1693100"/>
    <n v="1217324"/>
    <n v="1594208"/>
    <n v="2539823"/>
    <n v="2065319"/>
    <n v="11"/>
    <n v="4"/>
    <n v="5"/>
    <n v="4"/>
    <n v="2"/>
    <n v="4"/>
    <n v="5"/>
    <n v="5"/>
    <x v="1"/>
    <x v="0"/>
    <x v="0"/>
    <x v="0"/>
    <x v="0"/>
    <x v="0"/>
    <x v="1"/>
    <x v="1"/>
  </r>
  <r>
    <s v="Philadelphia Eagles"/>
    <n v="1463029"/>
    <n v="1269457"/>
    <n v="1566826"/>
    <n v="1053932"/>
    <n v="1807698"/>
    <n v="1708598"/>
    <n v="1956382"/>
    <n v="1817122"/>
    <n v="12"/>
    <n v="12"/>
    <n v="13"/>
    <n v="6"/>
    <n v="10"/>
    <n v="8"/>
    <n v="9.5"/>
    <n v="11"/>
    <x v="1"/>
    <x v="1"/>
    <x v="1"/>
    <x v="0"/>
    <x v="1"/>
    <x v="0"/>
    <x v="0"/>
    <x v="0"/>
  </r>
  <r>
    <s v="Pittsburgh Steelers"/>
    <n v="1470405"/>
    <n v="1096064"/>
    <n v="1257339"/>
    <n v="1525270"/>
    <n v="1593864"/>
    <n v="2005546"/>
    <n v="2111722"/>
    <n v="2056775"/>
    <n v="10.5"/>
    <n v="6"/>
    <n v="15"/>
    <n v="11"/>
    <n v="8"/>
    <n v="10"/>
    <n v="12"/>
    <n v="9"/>
    <x v="1"/>
    <x v="0"/>
    <x v="1"/>
    <x v="1"/>
    <x v="0"/>
    <x v="1"/>
    <x v="0"/>
    <x v="1"/>
  </r>
  <r>
    <s v="San Diego Chargers"/>
    <n v="1083151"/>
    <n v="1126624"/>
    <n v="1121368"/>
    <n v="1381218"/>
    <n v="1720388"/>
    <n v="1862922"/>
    <n v="2032970"/>
    <n v="2025154"/>
    <n v="8"/>
    <n v="4"/>
    <n v="12"/>
    <n v="9"/>
    <n v="14"/>
    <n v="11"/>
    <n v="8"/>
    <n v="13"/>
    <x v="0"/>
    <x v="0"/>
    <x v="1"/>
    <x v="0"/>
    <x v="1"/>
    <x v="1"/>
    <x v="0"/>
    <x v="0"/>
  </r>
  <r>
    <s v="San Francisco 49ers"/>
    <n v="1156099"/>
    <n v="1043436"/>
    <n v="926968"/>
    <n v="1285220"/>
    <n v="1640257"/>
    <n v="1811476"/>
    <n v="2120826"/>
    <n v="1957339"/>
    <n v="10"/>
    <n v="7"/>
    <n v="2"/>
    <n v="4"/>
    <n v="7"/>
    <n v="5"/>
    <n v="7"/>
    <n v="8"/>
    <x v="1"/>
    <x v="0"/>
    <x v="0"/>
    <x v="0"/>
    <x v="0"/>
    <x v="0"/>
    <x v="1"/>
    <x v="1"/>
  </r>
  <r>
    <s v="Seattle Seahawks"/>
    <n v="1240014"/>
    <n v="1432572"/>
    <n v="1193585"/>
    <n v="1314576"/>
    <n v="1774920"/>
    <n v="1760359"/>
    <n v="1977587"/>
    <n v="1649552"/>
    <n v="7"/>
    <n v="10"/>
    <n v="9"/>
    <n v="13"/>
    <n v="9"/>
    <n v="10"/>
    <n v="4"/>
    <n v="5"/>
    <x v="0"/>
    <x v="1"/>
    <x v="1"/>
    <x v="1"/>
    <x v="1"/>
    <x v="1"/>
    <x v="1"/>
    <x v="1"/>
  </r>
  <r>
    <s v="St. Louis Rams"/>
    <n v="925726"/>
    <n v="1380782"/>
    <n v="1382445"/>
    <n v="1622647"/>
    <n v="1852585"/>
    <n v="1777986"/>
    <n v="1634694"/>
    <n v="1661798"/>
    <n v="7"/>
    <n v="12"/>
    <n v="8"/>
    <n v="6"/>
    <n v="8"/>
    <n v="3"/>
    <n v="2"/>
    <n v="1"/>
    <x v="0"/>
    <x v="1"/>
    <x v="1"/>
    <x v="0"/>
    <x v="0"/>
    <x v="0"/>
    <x v="1"/>
    <x v="1"/>
  </r>
  <r>
    <s v="Tampa Bay Buccaneers"/>
    <n v="1092988"/>
    <n v="1376323"/>
    <n v="1138744"/>
    <n v="1250347"/>
    <n v="1312992"/>
    <n v="1509316"/>
    <n v="1830339"/>
    <n v="1458497"/>
    <n v="12"/>
    <n v="7"/>
    <n v="5"/>
    <n v="11"/>
    <n v="4"/>
    <n v="9"/>
    <n v="9"/>
    <n v="3"/>
    <x v="1"/>
    <x v="0"/>
    <x v="0"/>
    <x v="1"/>
    <x v="0"/>
    <x v="1"/>
    <x v="1"/>
    <x v="1"/>
  </r>
  <r>
    <s v="Tennessee Titans"/>
    <n v="987810"/>
    <n v="1325894"/>
    <n v="1197028"/>
    <n v="1100801"/>
    <n v="1497013"/>
    <n v="1645443"/>
    <n v="2291226"/>
    <n v="2141397"/>
    <n v="11"/>
    <n v="12"/>
    <n v="5"/>
    <n v="4"/>
    <n v="8"/>
    <n v="10"/>
    <n v="13"/>
    <n v="8"/>
    <x v="1"/>
    <x v="1"/>
    <x v="0"/>
    <x v="0"/>
    <x v="0"/>
    <x v="1"/>
    <x v="0"/>
    <x v="1"/>
  </r>
  <r>
    <s v="Washington Redskins"/>
    <n v="940756"/>
    <n v="1368164"/>
    <n v="1638365"/>
    <n v="1139805"/>
    <n v="1935798"/>
    <n v="2091661"/>
    <n v="1964275"/>
    <n v="1784886"/>
    <n v="7"/>
    <n v="5"/>
    <n v="6"/>
    <n v="10"/>
    <n v="5"/>
    <n v="9"/>
    <n v="8"/>
    <n v="4"/>
    <x v="0"/>
    <x v="0"/>
    <x v="0"/>
    <x v="1"/>
    <x v="0"/>
    <x v="1"/>
    <x v="1"/>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8.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34" cacheId="26"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location ref="A39:B42" firstHeaderRow="1" firstDataRow="1" firstDataCol="1"/>
  <pivotFields count="25">
    <pivotField showAll="0"/>
    <pivotField numFmtId="164" showAll="0"/>
    <pivotField numFmtId="164" showAll="0"/>
    <pivotField numFmtId="164" showAll="0"/>
    <pivotField numFmtId="164" showAll="0"/>
    <pivotField numFmtId="164" showAll="0"/>
    <pivotField numFmtId="164" showAll="0"/>
    <pivotField dataField="1" numFmtId="164" showAll="0"/>
    <pivotField numFmtId="164" showAll="0"/>
    <pivotField showAll="0"/>
    <pivotField showAll="0"/>
    <pivotField showAll="0"/>
    <pivotField showAll="0"/>
    <pivotField showAll="0"/>
    <pivotField showAll="0"/>
    <pivotField showAll="0"/>
    <pivotField showAll="0"/>
    <pivotField showAll="0">
      <items count="3">
        <item x="0"/>
        <item x="1"/>
        <item t="default"/>
      </items>
    </pivotField>
    <pivotField showAll="0"/>
    <pivotField showAll="0"/>
    <pivotField showAll="0"/>
    <pivotField showAll="0"/>
    <pivotField showAll="0"/>
    <pivotField axis="axisRow" showAll="0">
      <items count="3">
        <item x="1"/>
        <item x="0"/>
        <item t="default"/>
      </items>
    </pivotField>
    <pivotField showAll="0"/>
  </pivotFields>
  <rowFields count="1">
    <field x="23"/>
  </rowFields>
  <rowItems count="3">
    <i>
      <x/>
    </i>
    <i>
      <x v="1"/>
    </i>
    <i t="grand">
      <x/>
    </i>
  </rowItems>
  <colItems count="1">
    <i/>
  </colItems>
  <dataFields count="1">
    <dataField name="Average of Salary 2008" fld="7" subtotal="average" baseField="0" baseItem="0" numFmtId="164"/>
  </dataFields>
  <pivotTableStyleInfo name="PivotStyleLight16" showRowHeaders="1" showColHeaders="1" showRowStripes="0" showColStripes="0" showLastColumn="1"/>
</pivotTableDefinition>
</file>

<file path=xl/pivotTables/pivotTable2.xml><?xml version="1.0" encoding="utf-8"?>
<pivotTableDefinition xmlns="http://schemas.openxmlformats.org/spreadsheetml/2006/main" name="PivotTable30" cacheId="26"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location ref="A15:B18" firstHeaderRow="1" firstDataRow="1" firstDataCol="1"/>
  <pivotFields count="25">
    <pivotField showAll="0"/>
    <pivotField numFmtId="164" showAll="0"/>
    <pivotField numFmtId="164" showAll="0"/>
    <pivotField dataField="1" numFmtId="164" showAll="0"/>
    <pivotField numFmtId="164" showAll="0"/>
    <pivotField numFmtId="164" showAll="0"/>
    <pivotField numFmtId="164" showAll="0"/>
    <pivotField numFmtId="164" showAll="0"/>
    <pivotField numFmtId="164" showAll="0"/>
    <pivotField showAll="0"/>
    <pivotField showAll="0"/>
    <pivotField showAll="0"/>
    <pivotField showAll="0"/>
    <pivotField showAll="0"/>
    <pivotField showAll="0"/>
    <pivotField showAll="0"/>
    <pivotField showAll="0"/>
    <pivotField showAll="0">
      <items count="3">
        <item x="0"/>
        <item x="1"/>
        <item t="default"/>
      </items>
    </pivotField>
    <pivotField showAll="0"/>
    <pivotField axis="axisRow" showAll="0">
      <items count="3">
        <item x="0"/>
        <item x="1"/>
        <item t="default"/>
      </items>
    </pivotField>
    <pivotField showAll="0"/>
    <pivotField showAll="0"/>
    <pivotField showAll="0"/>
    <pivotField showAll="0"/>
    <pivotField showAll="0"/>
  </pivotFields>
  <rowFields count="1">
    <field x="19"/>
  </rowFields>
  <rowItems count="3">
    <i>
      <x/>
    </i>
    <i>
      <x v="1"/>
    </i>
    <i t="grand">
      <x/>
    </i>
  </rowItems>
  <colItems count="1">
    <i/>
  </colItems>
  <dataFields count="1">
    <dataField name="Average of Salary 2004" fld="3" subtotal="average" baseField="0" baseItem="0" numFmtId="164"/>
  </dataFields>
  <pivotTableStyleInfo name="PivotStyleLight16" showRowHeaders="1" showColHeaders="1" showRowStripes="0" showColStripes="0" showLastColumn="1"/>
</pivotTableDefinition>
</file>

<file path=xl/pivotTables/pivotTable3.xml><?xml version="1.0" encoding="utf-8"?>
<pivotTableDefinition xmlns="http://schemas.openxmlformats.org/spreadsheetml/2006/main" name="PivotTable32" cacheId="26"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location ref="A27:B30" firstHeaderRow="1" firstDataRow="1" firstDataCol="1"/>
  <pivotFields count="25">
    <pivotField showAll="0"/>
    <pivotField numFmtId="164" showAll="0"/>
    <pivotField numFmtId="164" showAll="0"/>
    <pivotField numFmtId="164" showAll="0"/>
    <pivotField numFmtId="164" showAll="0"/>
    <pivotField dataField="1" numFmtId="164" showAll="0"/>
    <pivotField numFmtId="164" showAll="0"/>
    <pivotField numFmtId="164" showAll="0"/>
    <pivotField numFmtId="164" showAll="0"/>
    <pivotField showAll="0"/>
    <pivotField showAll="0"/>
    <pivotField showAll="0"/>
    <pivotField showAll="0"/>
    <pivotField showAll="0"/>
    <pivotField showAll="0"/>
    <pivotField showAll="0"/>
    <pivotField showAll="0"/>
    <pivotField showAll="0">
      <items count="3">
        <item x="0"/>
        <item x="1"/>
        <item t="default"/>
      </items>
    </pivotField>
    <pivotField showAll="0"/>
    <pivotField showAll="0"/>
    <pivotField showAll="0"/>
    <pivotField axis="axisRow" showAll="0">
      <items count="3">
        <item x="0"/>
        <item x="1"/>
        <item t="default"/>
      </items>
    </pivotField>
    <pivotField showAll="0"/>
    <pivotField showAll="0"/>
    <pivotField showAll="0"/>
  </pivotFields>
  <rowFields count="1">
    <field x="21"/>
  </rowFields>
  <rowItems count="3">
    <i>
      <x/>
    </i>
    <i>
      <x v="1"/>
    </i>
    <i t="grand">
      <x/>
    </i>
  </rowItems>
  <colItems count="1">
    <i/>
  </colItems>
  <dataFields count="1">
    <dataField name="Average of Salary 2006" fld="5" subtotal="average" baseField="0" baseItem="0" numFmtId="164"/>
  </dataFields>
  <pivotTableStyleInfo name="PivotStyleLight16" showRowHeaders="1" showColHeaders="1" showRowStripes="0" showColStripes="0" showLastColumn="1"/>
</pivotTableDefinition>
</file>

<file path=xl/pivotTables/pivotTable4.xml><?xml version="1.0" encoding="utf-8"?>
<pivotTableDefinition xmlns="http://schemas.openxmlformats.org/spreadsheetml/2006/main" name="PivotTable31" cacheId="26"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location ref="A21:B24" firstHeaderRow="1" firstDataRow="1" firstDataCol="1"/>
  <pivotFields count="25">
    <pivotField showAll="0"/>
    <pivotField numFmtId="164" showAll="0"/>
    <pivotField numFmtId="164" showAll="0"/>
    <pivotField numFmtId="164" showAll="0"/>
    <pivotField dataField="1" numFmtId="164" showAll="0"/>
    <pivotField numFmtId="164" showAll="0"/>
    <pivotField numFmtId="164" showAll="0"/>
    <pivotField numFmtId="164" showAll="0"/>
    <pivotField numFmtId="164" showAll="0"/>
    <pivotField showAll="0"/>
    <pivotField showAll="0"/>
    <pivotField showAll="0"/>
    <pivotField showAll="0"/>
    <pivotField showAll="0"/>
    <pivotField showAll="0"/>
    <pivotField showAll="0"/>
    <pivotField showAll="0"/>
    <pivotField showAll="0">
      <items count="3">
        <item x="0"/>
        <item x="1"/>
        <item t="default"/>
      </items>
    </pivotField>
    <pivotField showAll="0"/>
    <pivotField showAll="0"/>
    <pivotField axis="axisRow" showAll="0">
      <items count="3">
        <item x="0"/>
        <item x="1"/>
        <item t="default"/>
      </items>
    </pivotField>
    <pivotField showAll="0"/>
    <pivotField showAll="0"/>
    <pivotField showAll="0"/>
    <pivotField showAll="0"/>
  </pivotFields>
  <rowFields count="1">
    <field x="20"/>
  </rowFields>
  <rowItems count="3">
    <i>
      <x/>
    </i>
    <i>
      <x v="1"/>
    </i>
    <i t="grand">
      <x/>
    </i>
  </rowItems>
  <colItems count="1">
    <i/>
  </colItems>
  <dataFields count="1">
    <dataField name="Average of Salary 2005" fld="4" subtotal="average" baseField="0" baseItem="0" numFmtId="164"/>
  </dataFields>
  <pivotTableStyleInfo name="PivotStyleLight16" showRowHeaders="1" showColHeaders="1" showRowStripes="0" showColStripes="0" showLastColumn="1"/>
</pivotTableDefinition>
</file>

<file path=xl/pivotTables/pivotTable5.xml><?xml version="1.0" encoding="utf-8"?>
<pivotTableDefinition xmlns="http://schemas.openxmlformats.org/spreadsheetml/2006/main" name="PivotTable29" cacheId="26"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location ref="A9:B12" firstHeaderRow="1" firstDataRow="1" firstDataCol="1"/>
  <pivotFields count="25">
    <pivotField showAll="0"/>
    <pivotField numFmtId="164" showAll="0"/>
    <pivotField dataField="1" numFmtId="164" showAll="0"/>
    <pivotField numFmtId="164" showAll="0"/>
    <pivotField numFmtId="164" showAll="0"/>
    <pivotField numFmtId="164" showAll="0"/>
    <pivotField numFmtId="164" showAll="0"/>
    <pivotField numFmtId="164" showAll="0"/>
    <pivotField numFmtId="164" showAll="0"/>
    <pivotField showAll="0"/>
    <pivotField showAll="0"/>
    <pivotField showAll="0"/>
    <pivotField showAll="0"/>
    <pivotField showAll="0"/>
    <pivotField showAll="0"/>
    <pivotField showAll="0"/>
    <pivotField showAll="0"/>
    <pivotField showAll="0">
      <items count="3">
        <item x="0"/>
        <item x="1"/>
        <item t="default"/>
      </items>
    </pivotField>
    <pivotField axis="axisRow" showAll="0">
      <items count="3">
        <item x="0"/>
        <item x="1"/>
        <item t="default"/>
      </items>
    </pivotField>
    <pivotField showAll="0"/>
    <pivotField showAll="0"/>
    <pivotField showAll="0"/>
    <pivotField showAll="0"/>
    <pivotField showAll="0"/>
    <pivotField showAll="0"/>
  </pivotFields>
  <rowFields count="1">
    <field x="18"/>
  </rowFields>
  <rowItems count="3">
    <i>
      <x/>
    </i>
    <i>
      <x v="1"/>
    </i>
    <i t="grand">
      <x/>
    </i>
  </rowItems>
  <colItems count="1">
    <i/>
  </colItems>
  <dataFields count="1">
    <dataField name="Average of Salary 2003" fld="2" subtotal="average" baseField="0" baseItem="0" numFmtId="164"/>
  </dataFields>
  <pivotTableStyleInfo name="PivotStyleLight16" showRowHeaders="1" showColHeaders="1" showRowStripes="0" showColStripes="0" showLastColumn="1"/>
</pivotTableDefinition>
</file>

<file path=xl/pivotTables/pivotTable6.xml><?xml version="1.0" encoding="utf-8"?>
<pivotTableDefinition xmlns="http://schemas.openxmlformats.org/spreadsheetml/2006/main" name="PivotTable33" cacheId="26"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location ref="A33:B36" firstHeaderRow="1" firstDataRow="1" firstDataCol="1"/>
  <pivotFields count="25">
    <pivotField showAll="0"/>
    <pivotField numFmtId="164" showAll="0"/>
    <pivotField numFmtId="164" showAll="0"/>
    <pivotField numFmtId="164" showAll="0"/>
    <pivotField numFmtId="164" showAll="0"/>
    <pivotField numFmtId="164" showAll="0"/>
    <pivotField dataField="1" numFmtId="164" showAll="0"/>
    <pivotField numFmtId="164" showAll="0"/>
    <pivotField numFmtId="164" showAll="0"/>
    <pivotField showAll="0"/>
    <pivotField showAll="0"/>
    <pivotField showAll="0"/>
    <pivotField showAll="0"/>
    <pivotField showAll="0"/>
    <pivotField showAll="0"/>
    <pivotField showAll="0"/>
    <pivotField showAll="0"/>
    <pivotField showAll="0">
      <items count="3">
        <item x="0"/>
        <item x="1"/>
        <item t="default"/>
      </items>
    </pivotField>
    <pivotField showAll="0"/>
    <pivotField showAll="0"/>
    <pivotField showAll="0"/>
    <pivotField showAll="0"/>
    <pivotField axis="axisRow" showAll="0">
      <items count="3">
        <item x="0"/>
        <item x="1"/>
        <item t="default"/>
      </items>
    </pivotField>
    <pivotField showAll="0"/>
    <pivotField showAll="0"/>
  </pivotFields>
  <rowFields count="1">
    <field x="22"/>
  </rowFields>
  <rowItems count="3">
    <i>
      <x/>
    </i>
    <i>
      <x v="1"/>
    </i>
    <i t="grand">
      <x/>
    </i>
  </rowItems>
  <colItems count="1">
    <i/>
  </colItems>
  <dataFields count="1">
    <dataField name="Average of Salary 2007" fld="6" subtotal="average" baseField="0" baseItem="0" numFmtId="164"/>
  </dataFields>
  <pivotTableStyleInfo name="PivotStyleLight16" showRowHeaders="1" showColHeaders="1" showRowStripes="0" showColStripes="0" showLastColumn="1"/>
</pivotTableDefinition>
</file>

<file path=xl/pivotTables/pivotTable7.xml><?xml version="1.0" encoding="utf-8"?>
<pivotTableDefinition xmlns="http://schemas.openxmlformats.org/spreadsheetml/2006/main" name="PivotTable28" cacheId="26"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location ref="A3:B6" firstHeaderRow="1" firstDataRow="1" firstDataCol="1"/>
  <pivotFields count="25">
    <pivotField showAll="0"/>
    <pivotField dataField="1" numFmtId="164" showAll="0"/>
    <pivotField numFmtId="164" showAll="0"/>
    <pivotField numFmtId="164" showAll="0"/>
    <pivotField numFmtId="164" showAll="0"/>
    <pivotField numFmtId="164" showAll="0"/>
    <pivotField numFmtId="164" showAll="0"/>
    <pivotField numFmtId="164" showAll="0"/>
    <pivotField numFmtId="164" showAll="0"/>
    <pivotField showAll="0"/>
    <pivotField showAll="0"/>
    <pivotField showAll="0"/>
    <pivotField showAll="0"/>
    <pivotField showAll="0"/>
    <pivotField showAll="0"/>
    <pivotField showAll="0"/>
    <pivotField showAll="0"/>
    <pivotField axis="axisRow" showAll="0">
      <items count="3">
        <item x="0"/>
        <item x="1"/>
        <item t="default"/>
      </items>
    </pivotField>
    <pivotField showAll="0"/>
    <pivotField showAll="0"/>
    <pivotField showAll="0"/>
    <pivotField showAll="0"/>
    <pivotField showAll="0"/>
    <pivotField showAll="0"/>
    <pivotField showAll="0"/>
  </pivotFields>
  <rowFields count="1">
    <field x="17"/>
  </rowFields>
  <rowItems count="3">
    <i>
      <x/>
    </i>
    <i>
      <x v="1"/>
    </i>
    <i t="grand">
      <x/>
    </i>
  </rowItems>
  <colItems count="1">
    <i/>
  </colItems>
  <dataFields count="1">
    <dataField name="Average of Salary 2002" fld="1" subtotal="average" baseField="0" baseItem="0" numFmtId="164"/>
  </dataFields>
  <pivotTableStyleInfo name="PivotStyleLight16" showRowHeaders="1" showColHeaders="1" showRowStripes="0" showColStripes="0" showLastColumn="1"/>
</pivotTableDefinition>
</file>

<file path=xl/pivotTables/pivotTable8.xml><?xml version="1.0" encoding="utf-8"?>
<pivotTableDefinition xmlns="http://schemas.openxmlformats.org/spreadsheetml/2006/main" name="PivotTable35" cacheId="26"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location ref="A45:B48" firstHeaderRow="1" firstDataRow="1" firstDataCol="1"/>
  <pivotFields count="25">
    <pivotField showAll="0"/>
    <pivotField numFmtId="164" showAll="0"/>
    <pivotField numFmtId="164" showAll="0"/>
    <pivotField numFmtId="164" showAll="0"/>
    <pivotField numFmtId="164" showAll="0"/>
    <pivotField numFmtId="164" showAll="0"/>
    <pivotField numFmtId="164" showAll="0"/>
    <pivotField numFmtId="164" showAll="0"/>
    <pivotField dataField="1" numFmtId="164" showAll="0"/>
    <pivotField showAll="0"/>
    <pivotField showAll="0"/>
    <pivotField showAll="0"/>
    <pivotField showAll="0"/>
    <pivotField showAll="0"/>
    <pivotField showAll="0"/>
    <pivotField showAll="0"/>
    <pivotField showAll="0"/>
    <pivotField showAll="0">
      <items count="3">
        <item x="0"/>
        <item x="1"/>
        <item t="default"/>
      </items>
    </pivotField>
    <pivotField showAll="0"/>
    <pivotField showAll="0"/>
    <pivotField showAll="0"/>
    <pivotField showAll="0"/>
    <pivotField showAll="0"/>
    <pivotField showAll="0"/>
    <pivotField axis="axisRow" showAll="0">
      <items count="3">
        <item x="1"/>
        <item x="0"/>
        <item t="default"/>
      </items>
    </pivotField>
  </pivotFields>
  <rowFields count="1">
    <field x="24"/>
  </rowFields>
  <rowItems count="3">
    <i>
      <x/>
    </i>
    <i>
      <x v="1"/>
    </i>
    <i t="grand">
      <x/>
    </i>
  </rowItems>
  <colItems count="1">
    <i/>
  </colItems>
  <dataFields count="1">
    <dataField name="Average of Salary 2009" fld="8" subtotal="average" baseField="0" baseItem="0" numFmtId="164"/>
  </dataFields>
  <pivotTableStyleInfo name="PivotStyleLight16" showRowHeaders="1" showColHeaders="1" showRowStripes="0" showColStripes="0" showLastColumn="1"/>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8" Type="http://schemas.openxmlformats.org/officeDocument/2006/relationships/pivotTable" Target="../pivotTables/pivotTable8.xml"/><Relationship Id="rId3" Type="http://schemas.openxmlformats.org/officeDocument/2006/relationships/pivotTable" Target="../pivotTables/pivotTable3.xml"/><Relationship Id="rId7" Type="http://schemas.openxmlformats.org/officeDocument/2006/relationships/pivotTable" Target="../pivotTables/pivotTable7.xml"/><Relationship Id="rId2" Type="http://schemas.openxmlformats.org/officeDocument/2006/relationships/pivotTable" Target="../pivotTables/pivotTable2.xml"/><Relationship Id="rId1" Type="http://schemas.openxmlformats.org/officeDocument/2006/relationships/pivotTable" Target="../pivotTables/pivotTable1.xml"/><Relationship Id="rId6" Type="http://schemas.openxmlformats.org/officeDocument/2006/relationships/pivotTable" Target="../pivotTables/pivotTable6.xml"/><Relationship Id="rId5" Type="http://schemas.openxmlformats.org/officeDocument/2006/relationships/pivotTable" Target="../pivotTables/pivotTable5.xml"/><Relationship Id="rId4" Type="http://schemas.openxmlformats.org/officeDocument/2006/relationships/pivotTable" Target="../pivotTables/pivotTable4.xml"/><Relationship Id="rId9"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38"/>
  <sheetViews>
    <sheetView tabSelected="1" workbookViewId="0"/>
  </sheetViews>
  <sheetFormatPr defaultRowHeight="15" x14ac:dyDescent="0.25"/>
  <cols>
    <col min="1" max="1" width="21.140625" bestFit="1" customWidth="1"/>
    <col min="2" max="8" width="10.7109375" style="1" customWidth="1"/>
    <col min="9" max="9" width="10.7109375" style="1" bestFit="1" customWidth="1"/>
    <col min="10" max="17" width="10" bestFit="1" customWidth="1"/>
    <col min="18" max="25" width="12.5703125" style="20" bestFit="1" customWidth="1"/>
  </cols>
  <sheetData>
    <row r="1" spans="1:25" s="2" customFormat="1" x14ac:dyDescent="0.25">
      <c r="A1" s="2" t="s">
        <v>0</v>
      </c>
      <c r="B1" s="3" t="s">
        <v>33</v>
      </c>
      <c r="C1" s="3" t="s">
        <v>34</v>
      </c>
      <c r="D1" s="3" t="s">
        <v>35</v>
      </c>
      <c r="E1" s="3" t="s">
        <v>36</v>
      </c>
      <c r="F1" s="3" t="s">
        <v>37</v>
      </c>
      <c r="G1" s="3" t="s">
        <v>38</v>
      </c>
      <c r="H1" s="3" t="s">
        <v>39</v>
      </c>
      <c r="I1" s="3" t="s">
        <v>40</v>
      </c>
      <c r="J1" s="4" t="s">
        <v>41</v>
      </c>
      <c r="K1" s="4" t="s">
        <v>42</v>
      </c>
      <c r="L1" s="4" t="s">
        <v>43</v>
      </c>
      <c r="M1" s="4" t="s">
        <v>44</v>
      </c>
      <c r="N1" s="4" t="s">
        <v>45</v>
      </c>
      <c r="O1" s="4" t="s">
        <v>46</v>
      </c>
      <c r="P1" s="4" t="s">
        <v>47</v>
      </c>
      <c r="Q1" s="4" t="s">
        <v>48</v>
      </c>
      <c r="R1" s="29" t="s">
        <v>189</v>
      </c>
      <c r="S1" s="29" t="s">
        <v>190</v>
      </c>
      <c r="T1" s="29" t="s">
        <v>191</v>
      </c>
      <c r="U1" s="29" t="s">
        <v>192</v>
      </c>
      <c r="V1" s="29" t="s">
        <v>193</v>
      </c>
      <c r="W1" s="29" t="s">
        <v>194</v>
      </c>
      <c r="X1" s="29" t="s">
        <v>195</v>
      </c>
      <c r="Y1" s="29" t="s">
        <v>196</v>
      </c>
    </row>
    <row r="2" spans="1:25" x14ac:dyDescent="0.25">
      <c r="A2" t="s">
        <v>1</v>
      </c>
      <c r="B2" s="1">
        <v>984817</v>
      </c>
      <c r="C2" s="1">
        <v>1286269</v>
      </c>
      <c r="D2" s="1">
        <v>1273570</v>
      </c>
      <c r="E2" s="1">
        <v>1142376</v>
      </c>
      <c r="F2" s="1">
        <v>1854139</v>
      </c>
      <c r="G2" s="1">
        <v>1731488</v>
      </c>
      <c r="H2" s="1">
        <v>2220184</v>
      </c>
      <c r="I2" s="1">
        <v>1984619</v>
      </c>
      <c r="J2">
        <v>5</v>
      </c>
      <c r="K2">
        <v>4</v>
      </c>
      <c r="L2">
        <v>6</v>
      </c>
      <c r="M2">
        <v>5</v>
      </c>
      <c r="N2">
        <v>5</v>
      </c>
      <c r="O2">
        <v>8</v>
      </c>
      <c r="P2" s="6">
        <v>9</v>
      </c>
      <c r="Q2" s="5">
        <v>10</v>
      </c>
      <c r="R2" s="20" t="s">
        <v>197</v>
      </c>
      <c r="S2" s="20" t="s">
        <v>197</v>
      </c>
      <c r="T2" s="20" t="s">
        <v>197</v>
      </c>
      <c r="U2" s="20" t="s">
        <v>197</v>
      </c>
      <c r="V2" s="20" t="s">
        <v>197</v>
      </c>
      <c r="W2" s="20" t="s">
        <v>197</v>
      </c>
      <c r="X2" s="30" t="s">
        <v>198</v>
      </c>
      <c r="Y2" s="31" t="s">
        <v>198</v>
      </c>
    </row>
    <row r="3" spans="1:25" x14ac:dyDescent="0.25">
      <c r="A3" t="s">
        <v>2</v>
      </c>
      <c r="B3" s="1">
        <v>1493423</v>
      </c>
      <c r="C3" s="1">
        <v>1347004</v>
      </c>
      <c r="D3" s="1">
        <v>1216342</v>
      </c>
      <c r="E3" s="1">
        <v>1674356</v>
      </c>
      <c r="F3" s="1">
        <v>1722495</v>
      </c>
      <c r="G3" s="1">
        <v>1374514</v>
      </c>
      <c r="H3" s="1">
        <v>1633755</v>
      </c>
      <c r="I3" s="1">
        <v>1728417</v>
      </c>
      <c r="J3" s="5">
        <v>9.5</v>
      </c>
      <c r="K3">
        <v>5</v>
      </c>
      <c r="L3" s="5">
        <v>11</v>
      </c>
      <c r="M3">
        <v>8</v>
      </c>
      <c r="N3">
        <v>7</v>
      </c>
      <c r="O3">
        <v>4</v>
      </c>
      <c r="P3" s="5">
        <v>11</v>
      </c>
      <c r="Q3">
        <v>9</v>
      </c>
      <c r="R3" s="31" t="s">
        <v>198</v>
      </c>
      <c r="S3" s="20" t="s">
        <v>197</v>
      </c>
      <c r="T3" s="31" t="s">
        <v>198</v>
      </c>
      <c r="U3" s="20" t="s">
        <v>197</v>
      </c>
      <c r="V3" s="20" t="s">
        <v>197</v>
      </c>
      <c r="W3" s="20" t="s">
        <v>197</v>
      </c>
      <c r="X3" s="31" t="s">
        <v>198</v>
      </c>
      <c r="Y3" s="20" t="s">
        <v>197</v>
      </c>
    </row>
    <row r="4" spans="1:25" x14ac:dyDescent="0.25">
      <c r="A4" t="s">
        <v>3</v>
      </c>
      <c r="B4" s="1">
        <v>1010225</v>
      </c>
      <c r="C4" s="1">
        <v>1263782</v>
      </c>
      <c r="D4" s="1">
        <v>1293068</v>
      </c>
      <c r="E4" s="1">
        <v>1371822</v>
      </c>
      <c r="F4" s="1">
        <v>1371599</v>
      </c>
      <c r="G4" s="1">
        <v>1784851</v>
      </c>
      <c r="H4" s="1">
        <v>2024374</v>
      </c>
      <c r="I4" s="1">
        <v>1795138</v>
      </c>
      <c r="J4">
        <v>7</v>
      </c>
      <c r="K4" s="5">
        <v>10</v>
      </c>
      <c r="L4">
        <v>9</v>
      </c>
      <c r="M4">
        <v>6</v>
      </c>
      <c r="N4" s="5">
        <v>13</v>
      </c>
      <c r="O4">
        <v>5</v>
      </c>
      <c r="P4" s="5">
        <v>11</v>
      </c>
      <c r="Q4" s="5">
        <v>9</v>
      </c>
      <c r="R4" s="20" t="s">
        <v>197</v>
      </c>
      <c r="S4" s="31" t="s">
        <v>198</v>
      </c>
      <c r="T4" s="20" t="s">
        <v>197</v>
      </c>
      <c r="U4" s="20" t="s">
        <v>197</v>
      </c>
      <c r="V4" s="31" t="s">
        <v>198</v>
      </c>
      <c r="W4" s="20" t="s">
        <v>197</v>
      </c>
      <c r="X4" s="31" t="s">
        <v>198</v>
      </c>
      <c r="Y4" s="31" t="s">
        <v>198</v>
      </c>
    </row>
    <row r="5" spans="1:25" x14ac:dyDescent="0.25">
      <c r="A5" t="s">
        <v>4</v>
      </c>
      <c r="B5" s="1">
        <v>960548</v>
      </c>
      <c r="C5" s="1">
        <v>1290753</v>
      </c>
      <c r="D5" s="1">
        <v>1253305</v>
      </c>
      <c r="E5" s="1">
        <v>1552449</v>
      </c>
      <c r="F5" s="1">
        <v>1924082</v>
      </c>
      <c r="G5" s="1">
        <v>1842066</v>
      </c>
      <c r="H5" s="1">
        <v>1511899</v>
      </c>
      <c r="I5" s="1">
        <v>1765923</v>
      </c>
      <c r="J5">
        <v>8</v>
      </c>
      <c r="K5">
        <v>6</v>
      </c>
      <c r="L5">
        <v>9</v>
      </c>
      <c r="M5">
        <v>5</v>
      </c>
      <c r="N5">
        <v>7</v>
      </c>
      <c r="O5">
        <v>7</v>
      </c>
      <c r="P5">
        <v>7</v>
      </c>
      <c r="Q5">
        <v>6</v>
      </c>
      <c r="R5" s="20" t="s">
        <v>197</v>
      </c>
      <c r="S5" s="20" t="s">
        <v>197</v>
      </c>
      <c r="T5" s="20" t="s">
        <v>197</v>
      </c>
      <c r="U5" s="20" t="s">
        <v>197</v>
      </c>
      <c r="V5" s="20" t="s">
        <v>197</v>
      </c>
      <c r="W5" s="20" t="s">
        <v>197</v>
      </c>
      <c r="X5" s="20" t="s">
        <v>197</v>
      </c>
      <c r="Y5" s="20" t="s">
        <v>197</v>
      </c>
    </row>
    <row r="6" spans="1:25" x14ac:dyDescent="0.25">
      <c r="A6" t="s">
        <v>5</v>
      </c>
      <c r="B6" s="1">
        <v>1088686</v>
      </c>
      <c r="C6" s="1">
        <v>1314342</v>
      </c>
      <c r="D6" s="1">
        <v>1272853</v>
      </c>
      <c r="E6" s="1">
        <v>1206877</v>
      </c>
      <c r="F6" s="1">
        <v>1553368</v>
      </c>
      <c r="G6" s="1">
        <v>1627375</v>
      </c>
      <c r="H6" s="1">
        <v>2223441</v>
      </c>
      <c r="I6" s="1">
        <v>1947645</v>
      </c>
      <c r="J6">
        <v>7</v>
      </c>
      <c r="K6" s="6">
        <v>11</v>
      </c>
      <c r="L6">
        <v>7</v>
      </c>
      <c r="M6" s="5">
        <v>11</v>
      </c>
      <c r="N6">
        <v>8</v>
      </c>
      <c r="O6">
        <v>7</v>
      </c>
      <c r="P6" s="5">
        <v>12</v>
      </c>
      <c r="Q6">
        <v>8</v>
      </c>
      <c r="R6" s="20" t="s">
        <v>197</v>
      </c>
      <c r="S6" s="30" t="s">
        <v>198</v>
      </c>
      <c r="T6" s="20" t="s">
        <v>197</v>
      </c>
      <c r="U6" s="31" t="s">
        <v>198</v>
      </c>
      <c r="V6" s="20" t="s">
        <v>197</v>
      </c>
      <c r="W6" s="20" t="s">
        <v>197</v>
      </c>
      <c r="X6" s="31" t="s">
        <v>198</v>
      </c>
      <c r="Y6" s="20" t="s">
        <v>197</v>
      </c>
    </row>
    <row r="7" spans="1:25" x14ac:dyDescent="0.25">
      <c r="A7" t="s">
        <v>6</v>
      </c>
      <c r="B7" s="1">
        <v>1094568</v>
      </c>
      <c r="C7" s="1">
        <v>854758</v>
      </c>
      <c r="D7" s="1">
        <v>1185517</v>
      </c>
      <c r="E7" s="1">
        <v>1225088</v>
      </c>
      <c r="F7" s="1">
        <v>1564848</v>
      </c>
      <c r="G7" s="1">
        <v>1796402</v>
      </c>
      <c r="H7" s="1">
        <v>2198605</v>
      </c>
      <c r="I7" s="1">
        <v>2154859</v>
      </c>
      <c r="J7">
        <v>4</v>
      </c>
      <c r="K7">
        <v>7</v>
      </c>
      <c r="L7">
        <v>5</v>
      </c>
      <c r="M7" s="5">
        <v>11</v>
      </c>
      <c r="N7" s="6">
        <v>13</v>
      </c>
      <c r="O7">
        <v>7</v>
      </c>
      <c r="P7">
        <v>9</v>
      </c>
      <c r="Q7">
        <v>7</v>
      </c>
      <c r="R7" s="20" t="s">
        <v>197</v>
      </c>
      <c r="S7" s="20" t="s">
        <v>197</v>
      </c>
      <c r="T7" s="20" t="s">
        <v>197</v>
      </c>
      <c r="U7" s="31" t="s">
        <v>198</v>
      </c>
      <c r="V7" s="30" t="s">
        <v>198</v>
      </c>
      <c r="W7" s="20" t="s">
        <v>197</v>
      </c>
      <c r="X7" s="20" t="s">
        <v>197</v>
      </c>
      <c r="Y7" s="20" t="s">
        <v>197</v>
      </c>
    </row>
    <row r="8" spans="1:25" x14ac:dyDescent="0.25">
      <c r="A8" t="s">
        <v>7</v>
      </c>
      <c r="B8" s="1">
        <v>904181</v>
      </c>
      <c r="C8" s="1">
        <v>1526022</v>
      </c>
      <c r="D8" s="1">
        <v>969181</v>
      </c>
      <c r="E8" s="1">
        <v>1226908</v>
      </c>
      <c r="F8" s="1">
        <v>1738462</v>
      </c>
      <c r="G8" s="1">
        <v>1563955</v>
      </c>
      <c r="H8" s="1">
        <v>1798818</v>
      </c>
      <c r="I8" s="1">
        <v>1617941</v>
      </c>
      <c r="J8">
        <v>2</v>
      </c>
      <c r="K8">
        <v>8</v>
      </c>
      <c r="L8">
        <v>8</v>
      </c>
      <c r="M8" s="5">
        <v>11</v>
      </c>
      <c r="N8">
        <v>8</v>
      </c>
      <c r="O8">
        <v>7</v>
      </c>
      <c r="P8">
        <v>4.5</v>
      </c>
      <c r="Q8" s="5">
        <v>10</v>
      </c>
      <c r="R8" s="20" t="s">
        <v>197</v>
      </c>
      <c r="S8" s="20" t="s">
        <v>197</v>
      </c>
      <c r="T8" s="20" t="s">
        <v>197</v>
      </c>
      <c r="U8" s="31" t="s">
        <v>198</v>
      </c>
      <c r="V8" s="20" t="s">
        <v>197</v>
      </c>
      <c r="W8" s="20" t="s">
        <v>197</v>
      </c>
      <c r="X8" s="20" t="s">
        <v>197</v>
      </c>
      <c r="Y8" s="31" t="s">
        <v>198</v>
      </c>
    </row>
    <row r="9" spans="1:25" x14ac:dyDescent="0.25">
      <c r="A9" t="s">
        <v>8</v>
      </c>
      <c r="B9" s="1">
        <v>820765</v>
      </c>
      <c r="C9" s="1">
        <v>1250073</v>
      </c>
      <c r="D9" s="1">
        <v>1219550</v>
      </c>
      <c r="E9" s="1">
        <v>1478817</v>
      </c>
      <c r="F9" s="1">
        <v>1806010</v>
      </c>
      <c r="G9" s="1">
        <v>1677576</v>
      </c>
      <c r="H9" s="1">
        <v>2038449</v>
      </c>
      <c r="I9" s="1">
        <v>1647933</v>
      </c>
      <c r="J9" s="5">
        <v>9</v>
      </c>
      <c r="K9">
        <v>5</v>
      </c>
      <c r="L9">
        <v>4</v>
      </c>
      <c r="M9">
        <v>6</v>
      </c>
      <c r="N9">
        <v>4</v>
      </c>
      <c r="O9">
        <v>10</v>
      </c>
      <c r="P9">
        <v>4</v>
      </c>
      <c r="Q9">
        <v>5</v>
      </c>
      <c r="R9" s="31" t="s">
        <v>198</v>
      </c>
      <c r="S9" s="20" t="s">
        <v>197</v>
      </c>
      <c r="T9" s="20" t="s">
        <v>197</v>
      </c>
      <c r="U9" s="20" t="s">
        <v>197</v>
      </c>
      <c r="V9" s="20" t="s">
        <v>197</v>
      </c>
      <c r="W9" s="20" t="s">
        <v>197</v>
      </c>
      <c r="X9" s="20" t="s">
        <v>197</v>
      </c>
      <c r="Y9" s="20" t="s">
        <v>197</v>
      </c>
    </row>
    <row r="10" spans="1:25" x14ac:dyDescent="0.25">
      <c r="A10" t="s">
        <v>9</v>
      </c>
      <c r="B10" s="1">
        <v>1097598</v>
      </c>
      <c r="C10" s="1">
        <v>1028999</v>
      </c>
      <c r="D10" s="1">
        <v>1036642</v>
      </c>
      <c r="E10" s="1">
        <v>1563684</v>
      </c>
      <c r="F10" s="1">
        <v>1599876</v>
      </c>
      <c r="G10" s="1">
        <v>1731396</v>
      </c>
      <c r="H10" s="1">
        <v>1648272</v>
      </c>
      <c r="I10" s="1">
        <v>1613231</v>
      </c>
      <c r="J10">
        <v>5</v>
      </c>
      <c r="K10" s="5">
        <v>10</v>
      </c>
      <c r="L10">
        <v>6</v>
      </c>
      <c r="M10">
        <v>9</v>
      </c>
      <c r="N10" s="5">
        <v>9</v>
      </c>
      <c r="O10" s="5">
        <v>13</v>
      </c>
      <c r="P10">
        <v>9</v>
      </c>
      <c r="Q10" s="5">
        <v>11</v>
      </c>
      <c r="R10" s="20" t="s">
        <v>197</v>
      </c>
      <c r="S10" s="31" t="s">
        <v>198</v>
      </c>
      <c r="T10" s="20" t="s">
        <v>197</v>
      </c>
      <c r="U10" s="20" t="s">
        <v>197</v>
      </c>
      <c r="V10" s="31" t="s">
        <v>198</v>
      </c>
      <c r="W10" s="31" t="s">
        <v>198</v>
      </c>
      <c r="X10" s="20" t="s">
        <v>197</v>
      </c>
      <c r="Y10" s="31" t="s">
        <v>198</v>
      </c>
    </row>
    <row r="11" spans="1:25" x14ac:dyDescent="0.25">
      <c r="A11" t="s">
        <v>10</v>
      </c>
      <c r="B11" s="1">
        <v>1176801</v>
      </c>
      <c r="C11" s="1">
        <v>1373598</v>
      </c>
      <c r="D11" s="1">
        <v>976261</v>
      </c>
      <c r="E11" s="1">
        <v>1265151</v>
      </c>
      <c r="F11" s="1">
        <v>1992902</v>
      </c>
      <c r="G11" s="1">
        <v>1952292</v>
      </c>
      <c r="H11" s="1">
        <v>2762294</v>
      </c>
      <c r="I11" s="1">
        <v>1918089</v>
      </c>
      <c r="J11">
        <v>9</v>
      </c>
      <c r="K11" s="5">
        <v>10</v>
      </c>
      <c r="L11" s="5">
        <v>10</v>
      </c>
      <c r="M11" s="5">
        <v>13</v>
      </c>
      <c r="N11">
        <v>9</v>
      </c>
      <c r="O11">
        <v>7</v>
      </c>
      <c r="P11">
        <v>8</v>
      </c>
      <c r="Q11">
        <v>8</v>
      </c>
      <c r="R11" s="20" t="s">
        <v>197</v>
      </c>
      <c r="S11" s="31" t="s">
        <v>198</v>
      </c>
      <c r="T11" s="31" t="s">
        <v>198</v>
      </c>
      <c r="U11" s="31" t="s">
        <v>198</v>
      </c>
      <c r="V11" s="20" t="s">
        <v>197</v>
      </c>
      <c r="W11" s="20" t="s">
        <v>197</v>
      </c>
      <c r="X11" s="20" t="s">
        <v>197</v>
      </c>
      <c r="Y11" s="20" t="s">
        <v>197</v>
      </c>
    </row>
    <row r="12" spans="1:25" x14ac:dyDescent="0.25">
      <c r="A12" t="s">
        <v>11</v>
      </c>
      <c r="B12" s="1">
        <v>960138</v>
      </c>
      <c r="C12" s="1">
        <v>1142090</v>
      </c>
      <c r="D12" s="1">
        <v>1455056</v>
      </c>
      <c r="E12" s="1">
        <v>1388892</v>
      </c>
      <c r="F12" s="1">
        <v>1628942</v>
      </c>
      <c r="G12" s="1">
        <v>1778865</v>
      </c>
      <c r="H12" s="1">
        <v>1597119</v>
      </c>
      <c r="I12" s="1">
        <v>1693397</v>
      </c>
      <c r="J12">
        <v>3</v>
      </c>
      <c r="K12">
        <v>5</v>
      </c>
      <c r="L12">
        <v>6</v>
      </c>
      <c r="M12">
        <v>5</v>
      </c>
      <c r="N12">
        <v>3</v>
      </c>
      <c r="O12">
        <v>7</v>
      </c>
      <c r="P12">
        <v>0</v>
      </c>
      <c r="Q12">
        <v>2</v>
      </c>
      <c r="R12" s="20" t="s">
        <v>197</v>
      </c>
      <c r="S12" s="20" t="s">
        <v>197</v>
      </c>
      <c r="T12" s="20" t="s">
        <v>197</v>
      </c>
      <c r="U12" s="20" t="s">
        <v>197</v>
      </c>
      <c r="V12" s="20" t="s">
        <v>197</v>
      </c>
      <c r="W12" s="20" t="s">
        <v>197</v>
      </c>
      <c r="X12" s="20" t="s">
        <v>197</v>
      </c>
      <c r="Y12" s="20" t="s">
        <v>197</v>
      </c>
    </row>
    <row r="13" spans="1:25" x14ac:dyDescent="0.25">
      <c r="A13" t="s">
        <v>12</v>
      </c>
      <c r="B13" s="1">
        <v>847120</v>
      </c>
      <c r="C13" s="1">
        <v>1206721</v>
      </c>
      <c r="D13" s="1">
        <v>1199756</v>
      </c>
      <c r="E13" s="1">
        <v>1011565</v>
      </c>
      <c r="F13" s="1">
        <v>1540021</v>
      </c>
      <c r="G13" s="1">
        <v>1600882</v>
      </c>
      <c r="H13" s="1">
        <v>1621005</v>
      </c>
      <c r="I13" s="1">
        <v>1909660</v>
      </c>
      <c r="J13" s="5">
        <v>12</v>
      </c>
      <c r="K13" s="5">
        <v>10</v>
      </c>
      <c r="L13" s="5">
        <v>10</v>
      </c>
      <c r="M13">
        <v>4</v>
      </c>
      <c r="N13">
        <v>8</v>
      </c>
      <c r="O13" s="5">
        <v>13</v>
      </c>
      <c r="P13">
        <v>6</v>
      </c>
      <c r="Q13" s="5">
        <v>11</v>
      </c>
      <c r="R13" s="31" t="s">
        <v>198</v>
      </c>
      <c r="S13" s="31" t="s">
        <v>198</v>
      </c>
      <c r="T13" s="31" t="s">
        <v>198</v>
      </c>
      <c r="U13" s="20" t="s">
        <v>197</v>
      </c>
      <c r="V13" s="20" t="s">
        <v>197</v>
      </c>
      <c r="W13" s="31" t="s">
        <v>198</v>
      </c>
      <c r="X13" s="20" t="s">
        <v>197</v>
      </c>
      <c r="Y13" s="31" t="s">
        <v>198</v>
      </c>
    </row>
    <row r="14" spans="1:25" x14ac:dyDescent="0.25">
      <c r="A14" t="s">
        <v>13</v>
      </c>
      <c r="B14" s="1">
        <v>1288927</v>
      </c>
      <c r="C14" s="1">
        <v>1108450</v>
      </c>
      <c r="D14" s="1">
        <v>1476873</v>
      </c>
      <c r="E14" s="1">
        <v>1385485</v>
      </c>
      <c r="F14" s="1">
        <v>1698061</v>
      </c>
      <c r="G14" s="1">
        <v>1487194</v>
      </c>
      <c r="H14" s="1">
        <v>1749120</v>
      </c>
      <c r="I14" s="1">
        <v>2037644</v>
      </c>
      <c r="J14">
        <v>4</v>
      </c>
      <c r="K14">
        <v>5</v>
      </c>
      <c r="L14">
        <v>7</v>
      </c>
      <c r="M14">
        <v>2</v>
      </c>
      <c r="N14">
        <v>6</v>
      </c>
      <c r="O14">
        <v>8</v>
      </c>
      <c r="P14">
        <v>8</v>
      </c>
      <c r="Q14">
        <v>9</v>
      </c>
      <c r="R14" s="20" t="s">
        <v>197</v>
      </c>
      <c r="S14" s="20" t="s">
        <v>197</v>
      </c>
      <c r="T14" s="20" t="s">
        <v>197</v>
      </c>
      <c r="U14" s="20" t="s">
        <v>197</v>
      </c>
      <c r="V14" s="20" t="s">
        <v>197</v>
      </c>
      <c r="W14" s="20" t="s">
        <v>197</v>
      </c>
      <c r="X14" s="20" t="s">
        <v>197</v>
      </c>
      <c r="Y14" s="20" t="s">
        <v>197</v>
      </c>
    </row>
    <row r="15" spans="1:25" x14ac:dyDescent="0.25">
      <c r="A15" t="s">
        <v>14</v>
      </c>
      <c r="B15" s="1">
        <v>1095478</v>
      </c>
      <c r="C15" s="1">
        <v>1249970</v>
      </c>
      <c r="D15" s="1">
        <v>1397109</v>
      </c>
      <c r="E15" s="1">
        <v>1155606</v>
      </c>
      <c r="F15" s="1">
        <v>2261892</v>
      </c>
      <c r="G15" s="1">
        <v>1772179</v>
      </c>
      <c r="H15" s="1">
        <v>1638139</v>
      </c>
      <c r="I15" s="1">
        <v>1782086</v>
      </c>
      <c r="J15" s="5">
        <v>10</v>
      </c>
      <c r="K15" s="5">
        <v>12</v>
      </c>
      <c r="L15" s="5">
        <v>12</v>
      </c>
      <c r="M15" s="5">
        <v>14</v>
      </c>
      <c r="N15" s="7">
        <v>12</v>
      </c>
      <c r="O15" s="5">
        <v>13</v>
      </c>
      <c r="P15" s="5">
        <v>12</v>
      </c>
      <c r="Q15" s="6">
        <v>14</v>
      </c>
      <c r="R15" s="31" t="s">
        <v>198</v>
      </c>
      <c r="S15" s="31" t="s">
        <v>198</v>
      </c>
      <c r="T15" s="31" t="s">
        <v>198</v>
      </c>
      <c r="U15" s="31" t="s">
        <v>198</v>
      </c>
      <c r="V15" s="32" t="s">
        <v>198</v>
      </c>
      <c r="W15" s="31" t="s">
        <v>198</v>
      </c>
      <c r="X15" s="31" t="s">
        <v>198</v>
      </c>
      <c r="Y15" s="30" t="s">
        <v>198</v>
      </c>
    </row>
    <row r="16" spans="1:25" x14ac:dyDescent="0.25">
      <c r="A16" t="s">
        <v>15</v>
      </c>
      <c r="B16" s="1">
        <v>826060</v>
      </c>
      <c r="C16" s="1">
        <v>1269921</v>
      </c>
      <c r="D16" s="1">
        <v>1045116</v>
      </c>
      <c r="E16" s="1">
        <v>1388512</v>
      </c>
      <c r="F16" s="1">
        <v>1526008</v>
      </c>
      <c r="G16" s="1">
        <v>1541488</v>
      </c>
      <c r="H16" s="1">
        <v>1907956</v>
      </c>
      <c r="I16" s="1">
        <v>1875074</v>
      </c>
      <c r="J16">
        <v>6</v>
      </c>
      <c r="K16">
        <v>5</v>
      </c>
      <c r="L16">
        <v>9</v>
      </c>
      <c r="M16" s="5">
        <v>12</v>
      </c>
      <c r="N16">
        <v>8</v>
      </c>
      <c r="O16" s="5">
        <v>11</v>
      </c>
      <c r="P16">
        <v>5</v>
      </c>
      <c r="Q16">
        <v>7</v>
      </c>
      <c r="R16" s="20" t="s">
        <v>197</v>
      </c>
      <c r="S16" s="20" t="s">
        <v>197</v>
      </c>
      <c r="T16" s="20" t="s">
        <v>197</v>
      </c>
      <c r="U16" s="31" t="s">
        <v>198</v>
      </c>
      <c r="V16" s="20" t="s">
        <v>197</v>
      </c>
      <c r="W16" s="31" t="s">
        <v>198</v>
      </c>
      <c r="X16" s="20" t="s">
        <v>197</v>
      </c>
      <c r="Y16" s="20" t="s">
        <v>197</v>
      </c>
    </row>
    <row r="17" spans="1:25" x14ac:dyDescent="0.25">
      <c r="A17" t="s">
        <v>16</v>
      </c>
      <c r="B17" s="1">
        <v>1066518</v>
      </c>
      <c r="C17" s="1">
        <v>1407165</v>
      </c>
      <c r="D17" s="1">
        <v>1343137</v>
      </c>
      <c r="E17" s="1">
        <v>1391161</v>
      </c>
      <c r="F17" s="1">
        <v>1434176</v>
      </c>
      <c r="G17" s="1">
        <v>1937187</v>
      </c>
      <c r="H17" s="1">
        <v>1520432</v>
      </c>
      <c r="I17" s="1">
        <v>1410856</v>
      </c>
      <c r="J17">
        <v>8</v>
      </c>
      <c r="K17" s="5">
        <v>13</v>
      </c>
      <c r="L17">
        <v>7</v>
      </c>
      <c r="M17">
        <v>10</v>
      </c>
      <c r="N17" s="5">
        <v>9</v>
      </c>
      <c r="O17">
        <v>4</v>
      </c>
      <c r="P17">
        <v>2</v>
      </c>
      <c r="Q17">
        <v>4</v>
      </c>
      <c r="R17" s="20" t="s">
        <v>197</v>
      </c>
      <c r="S17" s="31" t="s">
        <v>198</v>
      </c>
      <c r="T17" s="20" t="s">
        <v>197</v>
      </c>
      <c r="U17" s="20" t="s">
        <v>197</v>
      </c>
      <c r="V17" s="31" t="s">
        <v>198</v>
      </c>
      <c r="W17" s="20" t="s">
        <v>197</v>
      </c>
      <c r="X17" s="20" t="s">
        <v>197</v>
      </c>
      <c r="Y17" s="20" t="s">
        <v>197</v>
      </c>
    </row>
    <row r="18" spans="1:25" x14ac:dyDescent="0.25">
      <c r="A18" t="s">
        <v>17</v>
      </c>
      <c r="B18" s="1">
        <v>1056708</v>
      </c>
      <c r="C18" s="1">
        <v>1070463</v>
      </c>
      <c r="D18" s="1">
        <v>1304685</v>
      </c>
      <c r="E18" s="1">
        <v>1074883</v>
      </c>
      <c r="F18" s="1">
        <v>1683797</v>
      </c>
      <c r="G18" s="1">
        <v>1624090</v>
      </c>
      <c r="H18" s="1">
        <v>1943215</v>
      </c>
      <c r="I18" s="1">
        <v>2225542</v>
      </c>
      <c r="J18">
        <v>9</v>
      </c>
      <c r="K18">
        <v>10</v>
      </c>
      <c r="L18">
        <v>4</v>
      </c>
      <c r="M18">
        <v>9</v>
      </c>
      <c r="N18">
        <v>6</v>
      </c>
      <c r="O18">
        <v>1</v>
      </c>
      <c r="P18" s="5">
        <v>11</v>
      </c>
      <c r="Q18">
        <v>7</v>
      </c>
      <c r="R18" s="20" t="s">
        <v>197</v>
      </c>
      <c r="S18" s="20" t="s">
        <v>197</v>
      </c>
      <c r="T18" s="20" t="s">
        <v>197</v>
      </c>
      <c r="U18" s="20" t="s">
        <v>197</v>
      </c>
      <c r="V18" s="20" t="s">
        <v>197</v>
      </c>
      <c r="W18" s="20" t="s">
        <v>197</v>
      </c>
      <c r="X18" s="31" t="s">
        <v>198</v>
      </c>
      <c r="Y18" s="20" t="s">
        <v>197</v>
      </c>
    </row>
    <row r="19" spans="1:25" x14ac:dyDescent="0.25">
      <c r="A19" t="s">
        <v>18</v>
      </c>
      <c r="B19" s="1">
        <v>725823</v>
      </c>
      <c r="C19" s="1">
        <v>1530712</v>
      </c>
      <c r="D19" s="1">
        <v>1320114</v>
      </c>
      <c r="E19" s="1">
        <v>1400097</v>
      </c>
      <c r="F19" s="1">
        <v>2155619</v>
      </c>
      <c r="G19" s="1">
        <v>1616876</v>
      </c>
      <c r="H19" s="1">
        <v>2260238</v>
      </c>
      <c r="I19" s="1">
        <v>1919269</v>
      </c>
      <c r="J19">
        <v>6</v>
      </c>
      <c r="K19">
        <v>9</v>
      </c>
      <c r="L19" s="5">
        <v>8</v>
      </c>
      <c r="M19">
        <v>9</v>
      </c>
      <c r="N19">
        <v>6</v>
      </c>
      <c r="O19">
        <v>8</v>
      </c>
      <c r="P19" s="5">
        <v>10</v>
      </c>
      <c r="Q19" s="5">
        <v>12</v>
      </c>
      <c r="R19" s="20" t="s">
        <v>197</v>
      </c>
      <c r="S19" s="20" t="s">
        <v>197</v>
      </c>
      <c r="T19" s="31" t="s">
        <v>198</v>
      </c>
      <c r="U19" s="20" t="s">
        <v>197</v>
      </c>
      <c r="V19" s="20" t="s">
        <v>197</v>
      </c>
      <c r="W19" s="20" t="s">
        <v>197</v>
      </c>
      <c r="X19" s="31" t="s">
        <v>198</v>
      </c>
      <c r="Y19" s="31" t="s">
        <v>198</v>
      </c>
    </row>
    <row r="20" spans="1:25" x14ac:dyDescent="0.25">
      <c r="A20" t="s">
        <v>19</v>
      </c>
      <c r="B20" s="1">
        <v>796464</v>
      </c>
      <c r="C20" s="1">
        <v>1324649</v>
      </c>
      <c r="D20" s="1">
        <v>1149241</v>
      </c>
      <c r="E20" s="1">
        <v>1409090</v>
      </c>
      <c r="F20" s="1">
        <v>1695331</v>
      </c>
      <c r="G20" s="1">
        <v>1902632</v>
      </c>
      <c r="H20" s="1">
        <v>1520231</v>
      </c>
      <c r="I20" s="1">
        <v>1642595</v>
      </c>
      <c r="J20">
        <v>9</v>
      </c>
      <c r="K20" s="7">
        <v>14</v>
      </c>
      <c r="L20" s="7">
        <v>14</v>
      </c>
      <c r="M20" s="5">
        <v>10</v>
      </c>
      <c r="N20" s="5">
        <v>12</v>
      </c>
      <c r="O20" s="6">
        <v>16</v>
      </c>
      <c r="P20">
        <v>11</v>
      </c>
      <c r="Q20" s="5">
        <v>10</v>
      </c>
      <c r="R20" s="20" t="s">
        <v>197</v>
      </c>
      <c r="S20" s="32" t="s">
        <v>198</v>
      </c>
      <c r="T20" s="32" t="s">
        <v>198</v>
      </c>
      <c r="U20" s="31" t="s">
        <v>198</v>
      </c>
      <c r="V20" s="31" t="s">
        <v>198</v>
      </c>
      <c r="W20" s="30" t="s">
        <v>198</v>
      </c>
      <c r="X20" s="20" t="s">
        <v>197</v>
      </c>
      <c r="Y20" s="31" t="s">
        <v>198</v>
      </c>
    </row>
    <row r="21" spans="1:25" x14ac:dyDescent="0.25">
      <c r="A21" t="s">
        <v>20</v>
      </c>
      <c r="B21" s="1">
        <v>1004886</v>
      </c>
      <c r="C21" s="1">
        <v>1533925</v>
      </c>
      <c r="D21" s="1">
        <v>1182646</v>
      </c>
      <c r="E21" s="1">
        <v>1477344</v>
      </c>
      <c r="F21" s="1">
        <v>1542734</v>
      </c>
      <c r="G21" s="1">
        <v>1971732</v>
      </c>
      <c r="H21" s="1">
        <v>2267790</v>
      </c>
      <c r="I21" s="1">
        <v>1992663</v>
      </c>
      <c r="J21">
        <v>9</v>
      </c>
      <c r="K21">
        <v>8</v>
      </c>
      <c r="L21">
        <v>8</v>
      </c>
      <c r="M21">
        <v>3</v>
      </c>
      <c r="N21" s="5">
        <v>10</v>
      </c>
      <c r="O21">
        <v>7</v>
      </c>
      <c r="P21">
        <v>8</v>
      </c>
      <c r="Q21" s="7">
        <v>13</v>
      </c>
      <c r="R21" s="20" t="s">
        <v>197</v>
      </c>
      <c r="S21" s="20" t="s">
        <v>197</v>
      </c>
      <c r="T21" s="20" t="s">
        <v>197</v>
      </c>
      <c r="U21" s="20" t="s">
        <v>197</v>
      </c>
      <c r="V21" s="31" t="s">
        <v>198</v>
      </c>
      <c r="W21" s="20" t="s">
        <v>197</v>
      </c>
      <c r="X21" s="20" t="s">
        <v>197</v>
      </c>
      <c r="Y21" s="32" t="s">
        <v>198</v>
      </c>
    </row>
    <row r="22" spans="1:25" x14ac:dyDescent="0.25">
      <c r="A22" t="s">
        <v>21</v>
      </c>
      <c r="B22" s="1">
        <v>1179291</v>
      </c>
      <c r="C22" s="1">
        <v>1183717</v>
      </c>
      <c r="D22" s="1">
        <v>1100848</v>
      </c>
      <c r="E22" s="1">
        <v>1396990</v>
      </c>
      <c r="F22" s="1">
        <v>1865456</v>
      </c>
      <c r="G22" s="1">
        <v>1221861</v>
      </c>
      <c r="H22" s="1">
        <v>1898626</v>
      </c>
      <c r="I22" s="1">
        <v>2470623</v>
      </c>
      <c r="J22" s="5">
        <v>10</v>
      </c>
      <c r="K22">
        <v>4</v>
      </c>
      <c r="L22">
        <v>6</v>
      </c>
      <c r="M22" s="5">
        <v>11</v>
      </c>
      <c r="N22" s="5">
        <v>8</v>
      </c>
      <c r="O22" s="7">
        <v>10</v>
      </c>
      <c r="P22" s="5">
        <v>12</v>
      </c>
      <c r="Q22">
        <v>8</v>
      </c>
      <c r="R22" s="31" t="s">
        <v>198</v>
      </c>
      <c r="S22" s="20" t="s">
        <v>197</v>
      </c>
      <c r="T22" s="20" t="s">
        <v>197</v>
      </c>
      <c r="U22" s="31" t="s">
        <v>198</v>
      </c>
      <c r="V22" s="31" t="s">
        <v>198</v>
      </c>
      <c r="W22" s="32" t="s">
        <v>198</v>
      </c>
      <c r="X22" s="31" t="s">
        <v>198</v>
      </c>
      <c r="Y22" s="20" t="s">
        <v>197</v>
      </c>
    </row>
    <row r="23" spans="1:25" x14ac:dyDescent="0.25">
      <c r="A23" t="s">
        <v>22</v>
      </c>
      <c r="B23" s="1">
        <v>1661556</v>
      </c>
      <c r="C23" s="1">
        <v>1214208</v>
      </c>
      <c r="D23" s="1">
        <v>1538791</v>
      </c>
      <c r="E23" s="1">
        <v>1202217</v>
      </c>
      <c r="F23" s="1">
        <v>1538319</v>
      </c>
      <c r="G23" s="1">
        <v>1666192</v>
      </c>
      <c r="H23" s="1">
        <v>2051054</v>
      </c>
      <c r="I23" s="1">
        <v>2079904</v>
      </c>
      <c r="J23" s="5">
        <v>9</v>
      </c>
      <c r="K23">
        <v>6</v>
      </c>
      <c r="L23" s="5">
        <v>10</v>
      </c>
      <c r="M23">
        <v>4</v>
      </c>
      <c r="N23" s="5">
        <v>10</v>
      </c>
      <c r="O23">
        <v>4</v>
      </c>
      <c r="P23">
        <v>9</v>
      </c>
      <c r="Q23" s="5">
        <v>9</v>
      </c>
      <c r="R23" s="31" t="s">
        <v>198</v>
      </c>
      <c r="S23" s="20" t="s">
        <v>197</v>
      </c>
      <c r="T23" s="31" t="s">
        <v>198</v>
      </c>
      <c r="U23" s="20" t="s">
        <v>197</v>
      </c>
      <c r="V23" s="31" t="s">
        <v>198</v>
      </c>
      <c r="W23" s="20" t="s">
        <v>197</v>
      </c>
      <c r="X23" s="20" t="s">
        <v>197</v>
      </c>
      <c r="Y23" s="31" t="s">
        <v>198</v>
      </c>
    </row>
    <row r="24" spans="1:25" x14ac:dyDescent="0.25">
      <c r="A24" t="s">
        <v>23</v>
      </c>
      <c r="B24" s="1">
        <v>1447097</v>
      </c>
      <c r="C24" s="1">
        <v>1134922</v>
      </c>
      <c r="D24" s="1">
        <v>1208893</v>
      </c>
      <c r="E24" s="1">
        <v>1693100</v>
      </c>
      <c r="F24" s="1">
        <v>1217324</v>
      </c>
      <c r="G24" s="1">
        <v>1594208</v>
      </c>
      <c r="H24" s="1">
        <v>2539823</v>
      </c>
      <c r="I24" s="1">
        <v>2065319</v>
      </c>
      <c r="J24" s="6">
        <v>11</v>
      </c>
      <c r="K24">
        <v>4</v>
      </c>
      <c r="L24">
        <v>5</v>
      </c>
      <c r="M24">
        <v>4</v>
      </c>
      <c r="N24">
        <v>2</v>
      </c>
      <c r="O24">
        <v>4</v>
      </c>
      <c r="P24">
        <v>5</v>
      </c>
      <c r="Q24">
        <v>5</v>
      </c>
      <c r="R24" s="30" t="s">
        <v>198</v>
      </c>
      <c r="S24" s="20" t="s">
        <v>197</v>
      </c>
      <c r="T24" s="20" t="s">
        <v>197</v>
      </c>
      <c r="U24" s="20" t="s">
        <v>197</v>
      </c>
      <c r="V24" s="20" t="s">
        <v>197</v>
      </c>
      <c r="W24" s="20" t="s">
        <v>197</v>
      </c>
      <c r="X24" s="20" t="s">
        <v>197</v>
      </c>
      <c r="Y24" s="20" t="s">
        <v>197</v>
      </c>
    </row>
    <row r="25" spans="1:25" x14ac:dyDescent="0.25">
      <c r="A25" t="s">
        <v>24</v>
      </c>
      <c r="B25" s="1">
        <v>1463029</v>
      </c>
      <c r="C25" s="1">
        <v>1269457</v>
      </c>
      <c r="D25" s="1">
        <v>1566826</v>
      </c>
      <c r="E25" s="1">
        <v>1053932</v>
      </c>
      <c r="F25" s="1">
        <v>1807698</v>
      </c>
      <c r="G25" s="1">
        <v>1708598</v>
      </c>
      <c r="H25" s="1">
        <v>1956382</v>
      </c>
      <c r="I25" s="1">
        <v>1817122</v>
      </c>
      <c r="J25" s="5">
        <v>12</v>
      </c>
      <c r="K25" s="5">
        <v>12</v>
      </c>
      <c r="L25" s="6">
        <v>13</v>
      </c>
      <c r="M25">
        <v>6</v>
      </c>
      <c r="N25" s="5">
        <v>10</v>
      </c>
      <c r="O25">
        <v>8</v>
      </c>
      <c r="P25" s="5">
        <v>9.5</v>
      </c>
      <c r="Q25" s="5">
        <v>11</v>
      </c>
      <c r="R25" s="31" t="s">
        <v>198</v>
      </c>
      <c r="S25" s="31" t="s">
        <v>198</v>
      </c>
      <c r="T25" s="30" t="s">
        <v>198</v>
      </c>
      <c r="U25" s="20" t="s">
        <v>197</v>
      </c>
      <c r="V25" s="31" t="s">
        <v>198</v>
      </c>
      <c r="W25" s="20" t="s">
        <v>197</v>
      </c>
      <c r="X25" s="31" t="s">
        <v>198</v>
      </c>
      <c r="Y25" s="31" t="s">
        <v>198</v>
      </c>
    </row>
    <row r="26" spans="1:25" x14ac:dyDescent="0.25">
      <c r="A26" t="s">
        <v>25</v>
      </c>
      <c r="B26" s="1">
        <v>1470405</v>
      </c>
      <c r="C26" s="1">
        <v>1096064</v>
      </c>
      <c r="D26" s="1">
        <v>1257339</v>
      </c>
      <c r="E26" s="1">
        <v>1525270</v>
      </c>
      <c r="F26" s="1">
        <v>1593864</v>
      </c>
      <c r="G26" s="1">
        <v>2005546</v>
      </c>
      <c r="H26" s="1">
        <v>2111722</v>
      </c>
      <c r="I26" s="1">
        <v>2056775</v>
      </c>
      <c r="J26" s="5">
        <v>10.5</v>
      </c>
      <c r="K26">
        <v>6</v>
      </c>
      <c r="L26" s="5">
        <v>15</v>
      </c>
      <c r="M26" s="7">
        <v>11</v>
      </c>
      <c r="N26">
        <v>8</v>
      </c>
      <c r="O26" s="5">
        <v>10</v>
      </c>
      <c r="P26" s="7">
        <v>12</v>
      </c>
      <c r="Q26">
        <v>9</v>
      </c>
      <c r="R26" s="31" t="s">
        <v>198</v>
      </c>
      <c r="S26" s="20" t="s">
        <v>197</v>
      </c>
      <c r="T26" s="31" t="s">
        <v>198</v>
      </c>
      <c r="U26" s="32" t="s">
        <v>198</v>
      </c>
      <c r="V26" s="20" t="s">
        <v>197</v>
      </c>
      <c r="W26" s="31" t="s">
        <v>198</v>
      </c>
      <c r="X26" s="32" t="s">
        <v>198</v>
      </c>
      <c r="Y26" s="20" t="s">
        <v>197</v>
      </c>
    </row>
    <row r="27" spans="1:25" x14ac:dyDescent="0.25">
      <c r="A27" t="s">
        <v>26</v>
      </c>
      <c r="B27" s="1">
        <v>1083151</v>
      </c>
      <c r="C27" s="1">
        <v>1126624</v>
      </c>
      <c r="D27" s="1">
        <v>1121368</v>
      </c>
      <c r="E27" s="1">
        <v>1381218</v>
      </c>
      <c r="F27" s="1">
        <v>1720388</v>
      </c>
      <c r="G27" s="1">
        <v>1862922</v>
      </c>
      <c r="H27" s="1">
        <v>2032970</v>
      </c>
      <c r="I27" s="1">
        <v>2025154</v>
      </c>
      <c r="J27">
        <v>8</v>
      </c>
      <c r="K27">
        <v>4</v>
      </c>
      <c r="L27" s="5">
        <v>12</v>
      </c>
      <c r="M27">
        <v>9</v>
      </c>
      <c r="N27" s="5">
        <v>14</v>
      </c>
      <c r="O27" s="5">
        <v>11</v>
      </c>
      <c r="P27" s="5">
        <v>8</v>
      </c>
      <c r="Q27" s="5">
        <v>13</v>
      </c>
      <c r="R27" s="20" t="s">
        <v>197</v>
      </c>
      <c r="S27" s="20" t="s">
        <v>197</v>
      </c>
      <c r="T27" s="31" t="s">
        <v>198</v>
      </c>
      <c r="U27" s="20" t="s">
        <v>197</v>
      </c>
      <c r="V27" s="31" t="s">
        <v>198</v>
      </c>
      <c r="W27" s="31" t="s">
        <v>198</v>
      </c>
      <c r="X27" s="31" t="s">
        <v>198</v>
      </c>
      <c r="Y27" s="31" t="s">
        <v>198</v>
      </c>
    </row>
    <row r="28" spans="1:25" x14ac:dyDescent="0.25">
      <c r="A28" t="s">
        <v>27</v>
      </c>
      <c r="B28" s="1">
        <v>1156099</v>
      </c>
      <c r="C28" s="1">
        <v>1043436</v>
      </c>
      <c r="D28" s="1">
        <v>926968</v>
      </c>
      <c r="E28" s="1">
        <v>1285220</v>
      </c>
      <c r="F28" s="1">
        <v>1640257</v>
      </c>
      <c r="G28" s="1">
        <v>1811476</v>
      </c>
      <c r="H28" s="1">
        <v>2120826</v>
      </c>
      <c r="I28" s="1">
        <v>1957339</v>
      </c>
      <c r="J28" s="5">
        <v>10</v>
      </c>
      <c r="K28">
        <v>7</v>
      </c>
      <c r="L28">
        <v>2</v>
      </c>
      <c r="M28">
        <v>4</v>
      </c>
      <c r="N28">
        <v>7</v>
      </c>
      <c r="O28">
        <v>5</v>
      </c>
      <c r="P28">
        <v>7</v>
      </c>
      <c r="Q28">
        <v>8</v>
      </c>
      <c r="R28" s="31" t="s">
        <v>198</v>
      </c>
      <c r="S28" s="20" t="s">
        <v>197</v>
      </c>
      <c r="T28" s="20" t="s">
        <v>197</v>
      </c>
      <c r="U28" s="20" t="s">
        <v>197</v>
      </c>
      <c r="V28" s="20" t="s">
        <v>197</v>
      </c>
      <c r="W28" s="20" t="s">
        <v>197</v>
      </c>
      <c r="X28" s="20" t="s">
        <v>197</v>
      </c>
      <c r="Y28" s="20" t="s">
        <v>197</v>
      </c>
    </row>
    <row r="29" spans="1:25" x14ac:dyDescent="0.25">
      <c r="A29" t="s">
        <v>28</v>
      </c>
      <c r="B29" s="1">
        <v>1240014</v>
      </c>
      <c r="C29" s="1">
        <v>1432572</v>
      </c>
      <c r="D29" s="1">
        <v>1193585</v>
      </c>
      <c r="E29" s="1">
        <v>1314576</v>
      </c>
      <c r="F29" s="1">
        <v>1774920</v>
      </c>
      <c r="G29" s="1">
        <v>1760359</v>
      </c>
      <c r="H29" s="1">
        <v>1977587</v>
      </c>
      <c r="I29" s="1">
        <v>1649552</v>
      </c>
      <c r="J29">
        <v>7</v>
      </c>
      <c r="K29" s="5">
        <v>10</v>
      </c>
      <c r="L29" s="5">
        <v>9</v>
      </c>
      <c r="M29" s="6">
        <v>13</v>
      </c>
      <c r="N29" s="5">
        <v>9</v>
      </c>
      <c r="O29" s="5">
        <v>10</v>
      </c>
      <c r="P29">
        <v>4</v>
      </c>
      <c r="Q29">
        <v>5</v>
      </c>
      <c r="R29" s="20" t="s">
        <v>197</v>
      </c>
      <c r="S29" s="31" t="s">
        <v>198</v>
      </c>
      <c r="T29" s="31" t="s">
        <v>198</v>
      </c>
      <c r="U29" s="30" t="s">
        <v>198</v>
      </c>
      <c r="V29" s="31" t="s">
        <v>198</v>
      </c>
      <c r="W29" s="31" t="s">
        <v>198</v>
      </c>
      <c r="X29" s="20" t="s">
        <v>197</v>
      </c>
      <c r="Y29" s="20" t="s">
        <v>197</v>
      </c>
    </row>
    <row r="30" spans="1:25" x14ac:dyDescent="0.25">
      <c r="A30" t="s">
        <v>29</v>
      </c>
      <c r="B30" s="1">
        <v>925726</v>
      </c>
      <c r="C30" s="1">
        <v>1380782</v>
      </c>
      <c r="D30" s="1">
        <v>1382445</v>
      </c>
      <c r="E30" s="1">
        <v>1622647</v>
      </c>
      <c r="F30" s="1">
        <v>1852585</v>
      </c>
      <c r="G30" s="1">
        <v>1777986</v>
      </c>
      <c r="H30" s="1">
        <v>1634694</v>
      </c>
      <c r="I30" s="1">
        <v>1661798</v>
      </c>
      <c r="J30">
        <v>7</v>
      </c>
      <c r="K30" s="5">
        <v>12</v>
      </c>
      <c r="L30" s="5">
        <v>8</v>
      </c>
      <c r="M30">
        <v>6</v>
      </c>
      <c r="N30">
        <v>8</v>
      </c>
      <c r="O30">
        <v>3</v>
      </c>
      <c r="P30">
        <v>2</v>
      </c>
      <c r="Q30">
        <v>1</v>
      </c>
      <c r="R30" s="20" t="s">
        <v>197</v>
      </c>
      <c r="S30" s="31" t="s">
        <v>198</v>
      </c>
      <c r="T30" s="31" t="s">
        <v>198</v>
      </c>
      <c r="U30" s="20" t="s">
        <v>197</v>
      </c>
      <c r="V30" s="20" t="s">
        <v>197</v>
      </c>
      <c r="W30" s="20" t="s">
        <v>197</v>
      </c>
      <c r="X30" s="20" t="s">
        <v>197</v>
      </c>
      <c r="Y30" s="20" t="s">
        <v>197</v>
      </c>
    </row>
    <row r="31" spans="1:25" x14ac:dyDescent="0.25">
      <c r="A31" t="s">
        <v>30</v>
      </c>
      <c r="B31" s="1">
        <v>1092988</v>
      </c>
      <c r="C31" s="1">
        <v>1376323</v>
      </c>
      <c r="D31" s="1">
        <v>1138744</v>
      </c>
      <c r="E31" s="1">
        <v>1250347</v>
      </c>
      <c r="F31" s="1">
        <v>1312992</v>
      </c>
      <c r="G31" s="1">
        <v>1509316</v>
      </c>
      <c r="H31" s="1">
        <v>1830339</v>
      </c>
      <c r="I31" s="1">
        <v>1458497</v>
      </c>
      <c r="J31" s="7">
        <v>12</v>
      </c>
      <c r="K31">
        <v>7</v>
      </c>
      <c r="L31">
        <v>5</v>
      </c>
      <c r="M31" s="5">
        <v>11</v>
      </c>
      <c r="N31">
        <v>4</v>
      </c>
      <c r="O31" s="5">
        <v>9</v>
      </c>
      <c r="P31">
        <v>9</v>
      </c>
      <c r="Q31">
        <v>3</v>
      </c>
      <c r="R31" s="32" t="s">
        <v>198</v>
      </c>
      <c r="S31" s="20" t="s">
        <v>197</v>
      </c>
      <c r="T31" s="20" t="s">
        <v>197</v>
      </c>
      <c r="U31" s="31" t="s">
        <v>198</v>
      </c>
      <c r="V31" s="20" t="s">
        <v>197</v>
      </c>
      <c r="W31" s="31" t="s">
        <v>198</v>
      </c>
      <c r="X31" s="20" t="s">
        <v>197</v>
      </c>
      <c r="Y31" s="20" t="s">
        <v>197</v>
      </c>
    </row>
    <row r="32" spans="1:25" x14ac:dyDescent="0.25">
      <c r="A32" t="s">
        <v>31</v>
      </c>
      <c r="B32" s="1">
        <v>987810</v>
      </c>
      <c r="C32" s="1">
        <v>1325894</v>
      </c>
      <c r="D32" s="1">
        <v>1197028</v>
      </c>
      <c r="E32" s="1">
        <v>1100801</v>
      </c>
      <c r="F32" s="1">
        <v>1497013</v>
      </c>
      <c r="G32" s="1">
        <v>1645443</v>
      </c>
      <c r="H32" s="1">
        <v>2291226</v>
      </c>
      <c r="I32" s="1">
        <v>2141397</v>
      </c>
      <c r="J32" s="5">
        <v>11</v>
      </c>
      <c r="K32" s="5">
        <v>12</v>
      </c>
      <c r="L32">
        <v>5</v>
      </c>
      <c r="M32">
        <v>4</v>
      </c>
      <c r="N32">
        <v>8</v>
      </c>
      <c r="O32" s="5">
        <v>10</v>
      </c>
      <c r="P32" s="5">
        <v>13</v>
      </c>
      <c r="Q32">
        <v>8</v>
      </c>
      <c r="R32" s="31" t="s">
        <v>198</v>
      </c>
      <c r="S32" s="31" t="s">
        <v>198</v>
      </c>
      <c r="T32" s="20" t="s">
        <v>197</v>
      </c>
      <c r="U32" s="20" t="s">
        <v>197</v>
      </c>
      <c r="V32" s="20" t="s">
        <v>197</v>
      </c>
      <c r="W32" s="31" t="s">
        <v>198</v>
      </c>
      <c r="X32" s="31" t="s">
        <v>198</v>
      </c>
      <c r="Y32" s="20" t="s">
        <v>197</v>
      </c>
    </row>
    <row r="33" spans="1:25" x14ac:dyDescent="0.25">
      <c r="A33" t="s">
        <v>32</v>
      </c>
      <c r="B33" s="1">
        <v>940756</v>
      </c>
      <c r="C33" s="1">
        <v>1368164</v>
      </c>
      <c r="D33" s="1">
        <v>1638365</v>
      </c>
      <c r="E33" s="1">
        <v>1139805</v>
      </c>
      <c r="F33" s="1">
        <v>1935798</v>
      </c>
      <c r="G33" s="1">
        <v>2091661</v>
      </c>
      <c r="H33" s="1">
        <v>1964275</v>
      </c>
      <c r="I33" s="1">
        <v>1784886</v>
      </c>
      <c r="J33">
        <v>7</v>
      </c>
      <c r="K33">
        <v>5</v>
      </c>
      <c r="L33">
        <v>6</v>
      </c>
      <c r="M33" s="5">
        <v>10</v>
      </c>
      <c r="N33">
        <v>5</v>
      </c>
      <c r="O33" s="5">
        <v>9</v>
      </c>
      <c r="P33">
        <v>8</v>
      </c>
      <c r="Q33">
        <v>4</v>
      </c>
      <c r="R33" s="20" t="s">
        <v>197</v>
      </c>
      <c r="S33" s="20" t="s">
        <v>197</v>
      </c>
      <c r="T33" s="20" t="s">
        <v>197</v>
      </c>
      <c r="U33" s="31" t="s">
        <v>198</v>
      </c>
      <c r="V33" s="20" t="s">
        <v>197</v>
      </c>
      <c r="W33" s="31" t="s">
        <v>198</v>
      </c>
      <c r="X33" s="20" t="s">
        <v>197</v>
      </c>
      <c r="Y33" s="20" t="s">
        <v>197</v>
      </c>
    </row>
    <row r="35" spans="1:25" x14ac:dyDescent="0.25">
      <c r="A35" t="s">
        <v>49</v>
      </c>
      <c r="B35"/>
    </row>
    <row r="36" spans="1:25" x14ac:dyDescent="0.25">
      <c r="A36" t="s">
        <v>50</v>
      </c>
      <c r="B36" s="8">
        <v>13</v>
      </c>
    </row>
    <row r="37" spans="1:25" x14ac:dyDescent="0.25">
      <c r="A37" t="s">
        <v>51</v>
      </c>
      <c r="B37" s="9">
        <v>13</v>
      </c>
    </row>
    <row r="38" spans="1:25" x14ac:dyDescent="0.25">
      <c r="A38" t="s">
        <v>52</v>
      </c>
      <c r="B38" s="10">
        <v>13</v>
      </c>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2"/>
  <sheetViews>
    <sheetView workbookViewId="0"/>
  </sheetViews>
  <sheetFormatPr defaultColWidth="30.7109375" defaultRowHeight="15" x14ac:dyDescent="0.25"/>
  <cols>
    <col min="1" max="1" width="30.7109375" style="12"/>
    <col min="2" max="16384" width="30.7109375" style="11"/>
  </cols>
  <sheetData>
    <row r="1" spans="1:20" x14ac:dyDescent="0.25">
      <c r="A1" s="12" t="s">
        <v>62</v>
      </c>
      <c r="B1" s="11" t="s">
        <v>63</v>
      </c>
      <c r="C1" s="11" t="s">
        <v>53</v>
      </c>
      <c r="D1" s="11">
        <v>5</v>
      </c>
      <c r="E1" s="11" t="s">
        <v>54</v>
      </c>
      <c r="F1" s="11">
        <v>5</v>
      </c>
      <c r="G1" s="11" t="s">
        <v>55</v>
      </c>
      <c r="H1" s="11">
        <v>0</v>
      </c>
      <c r="I1" s="11" t="s">
        <v>56</v>
      </c>
      <c r="J1" s="11">
        <v>1</v>
      </c>
      <c r="K1" s="11" t="s">
        <v>57</v>
      </c>
      <c r="L1" s="11">
        <v>0</v>
      </c>
      <c r="M1" s="11" t="s">
        <v>58</v>
      </c>
      <c r="N1" s="11">
        <v>0</v>
      </c>
      <c r="O1" s="11" t="s">
        <v>59</v>
      </c>
      <c r="P1" s="11">
        <v>1</v>
      </c>
      <c r="Q1" s="11" t="s">
        <v>60</v>
      </c>
      <c r="R1" s="11">
        <v>0</v>
      </c>
      <c r="S1" s="11" t="s">
        <v>61</v>
      </c>
      <c r="T1" s="11">
        <v>0</v>
      </c>
    </row>
    <row r="2" spans="1:20" x14ac:dyDescent="0.25">
      <c r="A2" s="12" t="s">
        <v>64</v>
      </c>
      <c r="B2" s="11" t="s">
        <v>65</v>
      </c>
    </row>
    <row r="3" spans="1:20" x14ac:dyDescent="0.25">
      <c r="A3" s="12" t="s">
        <v>66</v>
      </c>
      <c r="B3" s="11" t="b">
        <f>IF(B10&gt;256,"TripUpST110AndEarlier",FALSE)</f>
        <v>0</v>
      </c>
    </row>
    <row r="4" spans="1:20" x14ac:dyDescent="0.25">
      <c r="A4" s="12" t="s">
        <v>67</v>
      </c>
      <c r="B4" s="11" t="s">
        <v>68</v>
      </c>
    </row>
    <row r="5" spans="1:20" x14ac:dyDescent="0.25">
      <c r="A5" s="12" t="s">
        <v>69</v>
      </c>
      <c r="B5" s="11" t="b">
        <v>1</v>
      </c>
    </row>
    <row r="6" spans="1:20" x14ac:dyDescent="0.25">
      <c r="A6" s="12" t="s">
        <v>70</v>
      </c>
      <c r="B6" s="11" t="b">
        <v>1</v>
      </c>
    </row>
    <row r="7" spans="1:20" x14ac:dyDescent="0.25">
      <c r="A7" s="12" t="s">
        <v>71</v>
      </c>
      <c r="B7" s="11">
        <f>Data!$A$1:$Q$33</f>
        <v>1094568</v>
      </c>
    </row>
    <row r="8" spans="1:20" x14ac:dyDescent="0.25">
      <c r="A8" s="12" t="s">
        <v>72</v>
      </c>
      <c r="B8" s="11">
        <v>1</v>
      </c>
    </row>
    <row r="9" spans="1:20" x14ac:dyDescent="0.25">
      <c r="A9" s="12" t="s">
        <v>73</v>
      </c>
      <c r="B9" s="11">
        <f>1</f>
        <v>1</v>
      </c>
    </row>
    <row r="10" spans="1:20" x14ac:dyDescent="0.25">
      <c r="A10" s="12" t="s">
        <v>74</v>
      </c>
      <c r="B10" s="11">
        <v>17</v>
      </c>
    </row>
    <row r="12" spans="1:20" x14ac:dyDescent="0.25">
      <c r="A12" s="12" t="s">
        <v>75</v>
      </c>
      <c r="B12" s="11" t="s">
        <v>76</v>
      </c>
      <c r="C12" s="11" t="s">
        <v>77</v>
      </c>
      <c r="D12" s="11" t="s">
        <v>78</v>
      </c>
      <c r="E12" s="11" t="b">
        <v>1</v>
      </c>
      <c r="F12" s="11">
        <v>0</v>
      </c>
      <c r="G12" s="11">
        <v>4</v>
      </c>
    </row>
    <row r="13" spans="1:20" x14ac:dyDescent="0.25">
      <c r="A13" s="12" t="s">
        <v>79</v>
      </c>
      <c r="B13" s="11" t="str">
        <f>Data!$A$1:$A$33</f>
        <v>Green Bay Packers</v>
      </c>
    </row>
    <row r="14" spans="1:20" x14ac:dyDescent="0.25">
      <c r="A14" s="12" t="s">
        <v>80</v>
      </c>
    </row>
    <row r="15" spans="1:20" x14ac:dyDescent="0.25">
      <c r="A15" s="12" t="s">
        <v>81</v>
      </c>
      <c r="B15" s="11" t="s">
        <v>82</v>
      </c>
      <c r="C15" s="11" t="s">
        <v>83</v>
      </c>
      <c r="D15" s="11" t="s">
        <v>84</v>
      </c>
      <c r="E15" s="11" t="b">
        <v>1</v>
      </c>
      <c r="F15" s="11">
        <v>0</v>
      </c>
      <c r="G15" s="11">
        <v>4</v>
      </c>
    </row>
    <row r="16" spans="1:20" x14ac:dyDescent="0.25">
      <c r="A16" s="12" t="s">
        <v>85</v>
      </c>
      <c r="B16" s="11">
        <f>Data!$B$1:$B$33</f>
        <v>826060</v>
      </c>
    </row>
    <row r="17" spans="1:7" x14ac:dyDescent="0.25">
      <c r="A17" s="12" t="s">
        <v>86</v>
      </c>
    </row>
    <row r="18" spans="1:7" x14ac:dyDescent="0.25">
      <c r="A18" s="12" t="s">
        <v>87</v>
      </c>
      <c r="B18" s="11" t="s">
        <v>88</v>
      </c>
      <c r="C18" s="11" t="s">
        <v>89</v>
      </c>
      <c r="D18" s="11" t="s">
        <v>90</v>
      </c>
      <c r="E18" s="11" t="b">
        <v>1</v>
      </c>
      <c r="F18" s="11">
        <v>0</v>
      </c>
      <c r="G18" s="11">
        <v>4</v>
      </c>
    </row>
    <row r="19" spans="1:7" x14ac:dyDescent="0.25">
      <c r="A19" s="12" t="s">
        <v>91</v>
      </c>
      <c r="B19" s="11">
        <f>Data!$C$1:$C$33</f>
        <v>1530712</v>
      </c>
    </row>
    <row r="20" spans="1:7" x14ac:dyDescent="0.25">
      <c r="A20" s="12" t="s">
        <v>92</v>
      </c>
    </row>
    <row r="21" spans="1:7" x14ac:dyDescent="0.25">
      <c r="A21" s="12" t="s">
        <v>93</v>
      </c>
      <c r="B21" s="11" t="s">
        <v>94</v>
      </c>
      <c r="C21" s="11" t="s">
        <v>95</v>
      </c>
      <c r="D21" s="11" t="s">
        <v>96</v>
      </c>
      <c r="E21" s="11" t="b">
        <v>1</v>
      </c>
      <c r="F21" s="11">
        <v>0</v>
      </c>
      <c r="G21" s="11">
        <v>4</v>
      </c>
    </row>
    <row r="22" spans="1:7" x14ac:dyDescent="0.25">
      <c r="A22" s="12" t="s">
        <v>97</v>
      </c>
      <c r="B22" s="11">
        <f>Data!$D$1:$D$33</f>
        <v>1100848</v>
      </c>
    </row>
    <row r="23" spans="1:7" x14ac:dyDescent="0.25">
      <c r="A23" s="12" t="s">
        <v>98</v>
      </c>
    </row>
    <row r="24" spans="1:7" x14ac:dyDescent="0.25">
      <c r="A24" s="12" t="s">
        <v>99</v>
      </c>
      <c r="B24" s="11" t="s">
        <v>100</v>
      </c>
      <c r="C24" s="11" t="s">
        <v>101</v>
      </c>
      <c r="D24" s="11" t="s">
        <v>102</v>
      </c>
      <c r="E24" s="11" t="b">
        <v>1</v>
      </c>
      <c r="F24" s="11">
        <v>0</v>
      </c>
      <c r="G24" s="11">
        <v>4</v>
      </c>
    </row>
    <row r="25" spans="1:7" x14ac:dyDescent="0.25">
      <c r="A25" s="12" t="s">
        <v>103</v>
      </c>
      <c r="B25" s="11">
        <f>Data!$E$1:$E$33</f>
        <v>1053932</v>
      </c>
    </row>
    <row r="26" spans="1:7" x14ac:dyDescent="0.25">
      <c r="A26" s="12" t="s">
        <v>104</v>
      </c>
    </row>
    <row r="27" spans="1:7" x14ac:dyDescent="0.25">
      <c r="A27" s="12" t="s">
        <v>105</v>
      </c>
      <c r="B27" s="11" t="s">
        <v>106</v>
      </c>
      <c r="C27" s="11" t="s">
        <v>107</v>
      </c>
      <c r="D27" s="11" t="s">
        <v>108</v>
      </c>
      <c r="E27" s="11" t="b">
        <v>1</v>
      </c>
      <c r="F27" s="11">
        <v>0</v>
      </c>
      <c r="G27" s="11">
        <v>4</v>
      </c>
    </row>
    <row r="28" spans="1:7" x14ac:dyDescent="0.25">
      <c r="A28" s="12" t="s">
        <v>109</v>
      </c>
      <c r="B28" s="11">
        <f>Data!$F$1:$F$33</f>
        <v>1640257</v>
      </c>
    </row>
    <row r="29" spans="1:7" x14ac:dyDescent="0.25">
      <c r="A29" s="12" t="s">
        <v>110</v>
      </c>
    </row>
    <row r="30" spans="1:7" x14ac:dyDescent="0.25">
      <c r="A30" s="12" t="s">
        <v>111</v>
      </c>
      <c r="B30" s="11" t="s">
        <v>112</v>
      </c>
      <c r="C30" s="11" t="s">
        <v>113</v>
      </c>
      <c r="D30" s="11" t="s">
        <v>114</v>
      </c>
      <c r="E30" s="11" t="b">
        <v>1</v>
      </c>
      <c r="F30" s="11">
        <v>0</v>
      </c>
      <c r="G30" s="11">
        <v>4</v>
      </c>
    </row>
    <row r="31" spans="1:7" x14ac:dyDescent="0.25">
      <c r="A31" s="12" t="s">
        <v>115</v>
      </c>
      <c r="B31" s="11">
        <f>Data!$G$1:$G$33</f>
        <v>1509316</v>
      </c>
    </row>
    <row r="32" spans="1:7" x14ac:dyDescent="0.25">
      <c r="A32" s="12" t="s">
        <v>116</v>
      </c>
    </row>
    <row r="33" spans="1:7" x14ac:dyDescent="0.25">
      <c r="A33" s="12" t="s">
        <v>117</v>
      </c>
      <c r="B33" s="11" t="s">
        <v>118</v>
      </c>
      <c r="C33" s="11" t="s">
        <v>119</v>
      </c>
      <c r="D33" s="11" t="s">
        <v>120</v>
      </c>
      <c r="E33" s="11" t="b">
        <v>1</v>
      </c>
      <c r="F33" s="11">
        <v>0</v>
      </c>
      <c r="G33" s="11">
        <v>4</v>
      </c>
    </row>
    <row r="34" spans="1:7" x14ac:dyDescent="0.25">
      <c r="A34" s="12" t="s">
        <v>121</v>
      </c>
      <c r="B34" s="11" t="e">
        <f>Data!$H$1:$H$33</f>
        <v>#VALUE!</v>
      </c>
    </row>
    <row r="35" spans="1:7" x14ac:dyDescent="0.25">
      <c r="A35" s="12" t="s">
        <v>122</v>
      </c>
    </row>
    <row r="36" spans="1:7" x14ac:dyDescent="0.25">
      <c r="A36" s="12" t="s">
        <v>123</v>
      </c>
      <c r="B36" s="11" t="s">
        <v>124</v>
      </c>
      <c r="C36" s="11" t="s">
        <v>125</v>
      </c>
      <c r="D36" s="11" t="s">
        <v>126</v>
      </c>
      <c r="E36" s="11" t="b">
        <v>1</v>
      </c>
      <c r="F36" s="11">
        <v>0</v>
      </c>
      <c r="G36" s="11">
        <v>4</v>
      </c>
    </row>
    <row r="37" spans="1:7" x14ac:dyDescent="0.25">
      <c r="A37" s="12" t="s">
        <v>127</v>
      </c>
      <c r="B37" s="11" t="e">
        <f>Data!$I$1:$I$33</f>
        <v>#VALUE!</v>
      </c>
    </row>
    <row r="38" spans="1:7" x14ac:dyDescent="0.25">
      <c r="A38" s="12" t="s">
        <v>128</v>
      </c>
    </row>
    <row r="39" spans="1:7" x14ac:dyDescent="0.25">
      <c r="A39" s="12" t="s">
        <v>129</v>
      </c>
      <c r="B39" s="11" t="s">
        <v>130</v>
      </c>
      <c r="C39" s="11" t="s">
        <v>131</v>
      </c>
      <c r="D39" s="11" t="s">
        <v>132</v>
      </c>
      <c r="E39" s="11" t="b">
        <v>1</v>
      </c>
      <c r="F39" s="11">
        <v>0</v>
      </c>
      <c r="G39" s="11">
        <v>4</v>
      </c>
    </row>
    <row r="40" spans="1:7" x14ac:dyDescent="0.25">
      <c r="A40" s="12" t="s">
        <v>133</v>
      </c>
      <c r="B40" s="11" t="e">
        <f>Data!$J$1:$J$33</f>
        <v>#VALUE!</v>
      </c>
    </row>
    <row r="41" spans="1:7" x14ac:dyDescent="0.25">
      <c r="A41" s="12" t="s">
        <v>134</v>
      </c>
    </row>
    <row r="42" spans="1:7" x14ac:dyDescent="0.25">
      <c r="A42" s="12" t="s">
        <v>135</v>
      </c>
      <c r="B42" s="11" t="s">
        <v>136</v>
      </c>
      <c r="C42" s="11" t="s">
        <v>137</v>
      </c>
      <c r="D42" s="11" t="s">
        <v>138</v>
      </c>
      <c r="E42" s="11" t="b">
        <v>1</v>
      </c>
      <c r="F42" s="11">
        <v>0</v>
      </c>
      <c r="G42" s="11">
        <v>4</v>
      </c>
    </row>
    <row r="43" spans="1:7" x14ac:dyDescent="0.25">
      <c r="A43" s="12" t="s">
        <v>139</v>
      </c>
      <c r="B43" s="11" t="e">
        <f>Data!$K$1:$K$33</f>
        <v>#VALUE!</v>
      </c>
    </row>
    <row r="44" spans="1:7" x14ac:dyDescent="0.25">
      <c r="A44" s="12" t="s">
        <v>140</v>
      </c>
    </row>
    <row r="45" spans="1:7" x14ac:dyDescent="0.25">
      <c r="A45" s="12" t="s">
        <v>141</v>
      </c>
      <c r="B45" s="11" t="s">
        <v>142</v>
      </c>
      <c r="C45" s="11" t="s">
        <v>143</v>
      </c>
      <c r="D45" s="11" t="s">
        <v>144</v>
      </c>
      <c r="E45" s="11" t="b">
        <v>1</v>
      </c>
      <c r="F45" s="11">
        <v>0</v>
      </c>
      <c r="G45" s="11">
        <v>4</v>
      </c>
    </row>
    <row r="46" spans="1:7" x14ac:dyDescent="0.25">
      <c r="A46" s="12" t="s">
        <v>145</v>
      </c>
      <c r="B46" s="11" t="e">
        <f>Data!$L$1:$L$33</f>
        <v>#VALUE!</v>
      </c>
    </row>
    <row r="47" spans="1:7" x14ac:dyDescent="0.25">
      <c r="A47" s="12" t="s">
        <v>146</v>
      </c>
    </row>
    <row r="48" spans="1:7" x14ac:dyDescent="0.25">
      <c r="A48" s="12" t="s">
        <v>147</v>
      </c>
      <c r="B48" s="11" t="s">
        <v>148</v>
      </c>
      <c r="C48" s="11" t="s">
        <v>149</v>
      </c>
      <c r="D48" s="11" t="s">
        <v>150</v>
      </c>
      <c r="E48" s="11" t="b">
        <v>1</v>
      </c>
      <c r="F48" s="11">
        <v>0</v>
      </c>
      <c r="G48" s="11">
        <v>4</v>
      </c>
    </row>
    <row r="49" spans="1:7" x14ac:dyDescent="0.25">
      <c r="A49" s="12" t="s">
        <v>151</v>
      </c>
      <c r="B49" s="11" t="e">
        <f>Data!$M$1:$M$33</f>
        <v>#VALUE!</v>
      </c>
    </row>
    <row r="50" spans="1:7" x14ac:dyDescent="0.25">
      <c r="A50" s="12" t="s">
        <v>152</v>
      </c>
    </row>
    <row r="51" spans="1:7" x14ac:dyDescent="0.25">
      <c r="A51" s="12" t="s">
        <v>153</v>
      </c>
      <c r="B51" s="11" t="s">
        <v>154</v>
      </c>
      <c r="C51" s="11" t="s">
        <v>155</v>
      </c>
      <c r="D51" s="11" t="s">
        <v>156</v>
      </c>
      <c r="E51" s="11" t="b">
        <v>1</v>
      </c>
      <c r="F51" s="11">
        <v>0</v>
      </c>
      <c r="G51" s="11">
        <v>4</v>
      </c>
    </row>
    <row r="52" spans="1:7" x14ac:dyDescent="0.25">
      <c r="A52" s="12" t="s">
        <v>157</v>
      </c>
      <c r="B52" s="11" t="e">
        <f>Data!$N$1:$N$33</f>
        <v>#VALUE!</v>
      </c>
    </row>
    <row r="53" spans="1:7" x14ac:dyDescent="0.25">
      <c r="A53" s="12" t="s">
        <v>158</v>
      </c>
    </row>
    <row r="54" spans="1:7" x14ac:dyDescent="0.25">
      <c r="A54" s="12" t="s">
        <v>159</v>
      </c>
      <c r="B54" s="11" t="s">
        <v>160</v>
      </c>
      <c r="C54" s="11" t="s">
        <v>161</v>
      </c>
      <c r="D54" s="11" t="s">
        <v>162</v>
      </c>
      <c r="E54" s="11" t="b">
        <v>1</v>
      </c>
      <c r="F54" s="11">
        <v>0</v>
      </c>
      <c r="G54" s="11">
        <v>4</v>
      </c>
    </row>
    <row r="55" spans="1:7" x14ac:dyDescent="0.25">
      <c r="A55" s="12" t="s">
        <v>163</v>
      </c>
      <c r="B55" s="11" t="e">
        <f>Data!$O$1:$O$33</f>
        <v>#VALUE!</v>
      </c>
    </row>
    <row r="56" spans="1:7" x14ac:dyDescent="0.25">
      <c r="A56" s="12" t="s">
        <v>164</v>
      </c>
    </row>
    <row r="57" spans="1:7" x14ac:dyDescent="0.25">
      <c r="A57" s="12" t="s">
        <v>165</v>
      </c>
      <c r="B57" s="11" t="s">
        <v>166</v>
      </c>
      <c r="C57" s="11" t="s">
        <v>167</v>
      </c>
      <c r="D57" s="11" t="s">
        <v>168</v>
      </c>
      <c r="E57" s="11" t="b">
        <v>1</v>
      </c>
      <c r="F57" s="11">
        <v>0</v>
      </c>
      <c r="G57" s="11">
        <v>4</v>
      </c>
    </row>
    <row r="58" spans="1:7" x14ac:dyDescent="0.25">
      <c r="A58" s="12" t="s">
        <v>169</v>
      </c>
      <c r="B58" s="11" t="e">
        <f>Data!$P$1:$P$33</f>
        <v>#VALUE!</v>
      </c>
    </row>
    <row r="59" spans="1:7" x14ac:dyDescent="0.25">
      <c r="A59" s="12" t="s">
        <v>170</v>
      </c>
    </row>
    <row r="60" spans="1:7" x14ac:dyDescent="0.25">
      <c r="A60" s="12" t="s">
        <v>171</v>
      </c>
      <c r="B60" s="11" t="s">
        <v>172</v>
      </c>
      <c r="C60" s="11" t="s">
        <v>173</v>
      </c>
      <c r="D60" s="11" t="s">
        <v>174</v>
      </c>
      <c r="E60" s="11" t="b">
        <v>1</v>
      </c>
      <c r="F60" s="11">
        <v>0</v>
      </c>
      <c r="G60" s="11">
        <v>4</v>
      </c>
    </row>
    <row r="61" spans="1:7" x14ac:dyDescent="0.25">
      <c r="A61" s="12" t="s">
        <v>175</v>
      </c>
      <c r="B61" s="11" t="e">
        <f>Data!$Q$1:$Q$33</f>
        <v>#VALUE!</v>
      </c>
    </row>
    <row r="62" spans="1:7" x14ac:dyDescent="0.25">
      <c r="A62" s="12" t="s">
        <v>176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ColWidth="12.7109375" defaultRowHeight="15" x14ac:dyDescent="0.25"/>
  <cols>
    <col min="1" max="1" width="13" bestFit="1" customWidth="1"/>
    <col min="2" max="9" width="12.7109375" customWidth="1"/>
  </cols>
  <sheetData>
    <row r="1" spans="1:9" s="13" customFormat="1" ht="18.75" x14ac:dyDescent="0.3">
      <c r="A1" s="15" t="s">
        <v>177</v>
      </c>
      <c r="B1" s="18" t="s">
        <v>178</v>
      </c>
    </row>
    <row r="2" spans="1:9" s="13" customFormat="1" ht="11.25" x14ac:dyDescent="0.2">
      <c r="A2" s="16" t="s">
        <v>179</v>
      </c>
      <c r="B2" s="18" t="s">
        <v>180</v>
      </c>
    </row>
    <row r="3" spans="1:9" s="13" customFormat="1" ht="11.25" x14ac:dyDescent="0.2">
      <c r="A3" s="16" t="s">
        <v>181</v>
      </c>
      <c r="B3" s="18" t="s">
        <v>182</v>
      </c>
    </row>
    <row r="4" spans="1:9" s="13" customFormat="1" ht="11.25" x14ac:dyDescent="0.2">
      <c r="A4" s="16" t="s">
        <v>183</v>
      </c>
      <c r="B4" s="18" t="s">
        <v>210</v>
      </c>
    </row>
    <row r="5" spans="1:9" s="14" customFormat="1" ht="11.25" x14ac:dyDescent="0.2">
      <c r="A5" s="17" t="s">
        <v>184</v>
      </c>
      <c r="B5" s="19" t="s">
        <v>185</v>
      </c>
    </row>
    <row r="6" spans="1:9" ht="15" customHeight="1" x14ac:dyDescent="0.25"/>
    <row r="7" spans="1:9" ht="15" customHeight="1" x14ac:dyDescent="0.25">
      <c r="A7" s="24"/>
      <c r="B7" s="21" t="s">
        <v>41</v>
      </c>
      <c r="C7" s="21" t="s">
        <v>42</v>
      </c>
      <c r="D7" s="21" t="s">
        <v>43</v>
      </c>
      <c r="E7" s="21" t="s">
        <v>44</v>
      </c>
      <c r="F7" s="21" t="s">
        <v>45</v>
      </c>
      <c r="G7" s="21" t="s">
        <v>46</v>
      </c>
      <c r="H7" s="21" t="s">
        <v>47</v>
      </c>
      <c r="I7" s="21" t="s">
        <v>48</v>
      </c>
    </row>
    <row r="8" spans="1:9" ht="15" customHeight="1" thickBot="1" x14ac:dyDescent="0.3">
      <c r="A8" s="25" t="s">
        <v>186</v>
      </c>
      <c r="B8" s="22" t="s">
        <v>63</v>
      </c>
      <c r="C8" s="22" t="s">
        <v>63</v>
      </c>
      <c r="D8" s="22" t="s">
        <v>63</v>
      </c>
      <c r="E8" s="22" t="s">
        <v>63</v>
      </c>
      <c r="F8" s="22" t="s">
        <v>63</v>
      </c>
      <c r="G8" s="22" t="s">
        <v>63</v>
      </c>
      <c r="H8" s="22" t="s">
        <v>63</v>
      </c>
      <c r="I8" s="22" t="s">
        <v>63</v>
      </c>
    </row>
    <row r="9" spans="1:9" ht="15" customHeight="1" thickTop="1" x14ac:dyDescent="0.25">
      <c r="A9" s="23" t="s">
        <v>41</v>
      </c>
      <c r="B9" s="26">
        <v>1</v>
      </c>
      <c r="C9" s="26"/>
      <c r="D9" s="26"/>
      <c r="E9" s="26"/>
      <c r="F9" s="26"/>
      <c r="G9" s="26"/>
      <c r="H9" s="26"/>
      <c r="I9" s="26"/>
    </row>
    <row r="10" spans="1:9" ht="15" customHeight="1" x14ac:dyDescent="0.25">
      <c r="A10" s="23" t="s">
        <v>42</v>
      </c>
      <c r="B10" s="26">
        <f>_xll.StatCorrelationCoeff( ST_Wins2003,ST_Wins2002)</f>
        <v>0.18494073394889238</v>
      </c>
      <c r="C10" s="26">
        <v>1</v>
      </c>
      <c r="D10" s="26"/>
      <c r="E10" s="26"/>
      <c r="F10" s="26"/>
      <c r="G10" s="26"/>
      <c r="H10" s="26"/>
      <c r="I10" s="26"/>
    </row>
    <row r="11" spans="1:9" ht="15" customHeight="1" x14ac:dyDescent="0.25">
      <c r="A11" s="23" t="s">
        <v>43</v>
      </c>
      <c r="B11" s="26">
        <f>_xll.StatCorrelationCoeff( ST_Wins2004,ST_Wins2002)</f>
        <v>0.20214712104650723</v>
      </c>
      <c r="C11" s="26">
        <f>_xll.StatCorrelationCoeff( ST_Wins2004,ST_Wins2003)</f>
        <v>0.24232223044494466</v>
      </c>
      <c r="D11" s="26">
        <v>1</v>
      </c>
      <c r="E11" s="26"/>
      <c r="F11" s="26"/>
      <c r="G11" s="26"/>
      <c r="H11" s="26"/>
      <c r="I11" s="26"/>
    </row>
    <row r="12" spans="1:9" ht="15" customHeight="1" x14ac:dyDescent="0.25">
      <c r="A12" s="23" t="s">
        <v>44</v>
      </c>
      <c r="B12" s="26">
        <f>_xll.StatCorrelationCoeff( ST_Wins2005,ST_Wins2002)</f>
        <v>-8.104543708343516E-2</v>
      </c>
      <c r="C12" s="26">
        <f>_xll.StatCorrelationCoeff( ST_Wins2005,ST_Wins2003)</f>
        <v>0.21400930962993348</v>
      </c>
      <c r="D12" s="26">
        <f>_xll.StatCorrelationCoeff( ST_Wins2005,ST_Wins2004)</f>
        <v>0.2596453934447493</v>
      </c>
      <c r="E12" s="26">
        <v>1</v>
      </c>
      <c r="F12" s="26"/>
      <c r="G12" s="26"/>
      <c r="H12" s="26"/>
      <c r="I12" s="26"/>
    </row>
    <row r="13" spans="1:9" ht="15" customHeight="1" x14ac:dyDescent="0.25">
      <c r="A13" s="23" t="s">
        <v>45</v>
      </c>
      <c r="B13" s="26">
        <f>_xll.StatCorrelationCoeff( ST_Wins2006,ST_Wins2002)</f>
        <v>6.3223077881690093E-3</v>
      </c>
      <c r="C13" s="26">
        <f>_xll.StatCorrelationCoeff( ST_Wins2006,ST_Wins2003)</f>
        <v>0.42825644504041183</v>
      </c>
      <c r="D13" s="26">
        <f>_xll.StatCorrelationCoeff( ST_Wins2006,ST_Wins2004)</f>
        <v>0.53530509402993809</v>
      </c>
      <c r="E13" s="26">
        <f>_xll.StatCorrelationCoeff( ST_Wins2006,ST_Wins2005)</f>
        <v>0.28596150867297471</v>
      </c>
      <c r="F13" s="26">
        <v>1</v>
      </c>
      <c r="G13" s="26"/>
      <c r="H13" s="26"/>
      <c r="I13" s="26"/>
    </row>
    <row r="14" spans="1:9" ht="15" customHeight="1" x14ac:dyDescent="0.25">
      <c r="A14" s="23" t="s">
        <v>46</v>
      </c>
      <c r="B14" s="26">
        <f>_xll.StatCorrelationCoeff( ST_Wins2007,ST_Wins2002)</f>
        <v>8.0850121603727468E-2</v>
      </c>
      <c r="C14" s="26">
        <f>_xll.StatCorrelationCoeff( ST_Wins2007,ST_Wins2003)</f>
        <v>0.11708391757840821</v>
      </c>
      <c r="D14" s="26">
        <f>_xll.StatCorrelationCoeff( ST_Wins2007,ST_Wins2004)</f>
        <v>0.37213051936589325</v>
      </c>
      <c r="E14" s="26">
        <f>_xll.StatCorrelationCoeff( ST_Wins2007,ST_Wins2005)</f>
        <v>0.29518832227489006</v>
      </c>
      <c r="F14" s="26">
        <f>_xll.StatCorrelationCoeff( ST_Wins2007,ST_Wins2006)</f>
        <v>0.26157418189029846</v>
      </c>
      <c r="G14" s="26">
        <v>1</v>
      </c>
      <c r="H14" s="26"/>
      <c r="I14" s="26"/>
    </row>
    <row r="15" spans="1:9" ht="15" customHeight="1" x14ac:dyDescent="0.25">
      <c r="A15" s="23" t="s">
        <v>47</v>
      </c>
      <c r="B15" s="26">
        <f>_xll.StatCorrelationCoeff( ST_Wins2008,ST_Wins2002)</f>
        <v>0.35173522468514895</v>
      </c>
      <c r="C15" s="26">
        <f>_xll.StatCorrelationCoeff( ST_Wins2008,ST_Wins2003)</f>
        <v>0.13002709889328265</v>
      </c>
      <c r="D15" s="26">
        <f>_xll.StatCorrelationCoeff( ST_Wins2008,ST_Wins2004)</f>
        <v>0.23862433345618039</v>
      </c>
      <c r="E15" s="26">
        <f>_xll.StatCorrelationCoeff( ST_Wins2008,ST_Wins2005)</f>
        <v>0.16802438286935598</v>
      </c>
      <c r="F15" s="26">
        <f>_xll.StatCorrelationCoeff( ST_Wins2008,ST_Wins2006)</f>
        <v>0.33608936325421546</v>
      </c>
      <c r="G15" s="26">
        <f>_xll.StatCorrelationCoeff( ST_Wins2008,ST_Wins2007)</f>
        <v>0.20952431556068568</v>
      </c>
      <c r="H15" s="26">
        <v>1</v>
      </c>
      <c r="I15" s="26"/>
    </row>
    <row r="16" spans="1:9" ht="15" customHeight="1" x14ac:dyDescent="0.25">
      <c r="A16" s="23" t="s">
        <v>48</v>
      </c>
      <c r="B16" s="26">
        <f>_xll.StatCorrelationCoeff( ST_Wins2009,ST_Wins2002)</f>
        <v>9.468542273557079E-2</v>
      </c>
      <c r="C16" s="26">
        <f>_xll.StatCorrelationCoeff( ST_Wins2009,ST_Wins2003)</f>
        <v>0.11740406635301114</v>
      </c>
      <c r="D16" s="26">
        <f>_xll.StatCorrelationCoeff( ST_Wins2009,ST_Wins2004)</f>
        <v>0.45501575519329007</v>
      </c>
      <c r="E16" s="26">
        <f>_xll.StatCorrelationCoeff( ST_Wins2009,ST_Wins2005)</f>
        <v>5.9071372390360763E-3</v>
      </c>
      <c r="F16" s="26">
        <f>_xll.StatCorrelationCoeff( ST_Wins2009,ST_Wins2006)</f>
        <v>0.53569437771577599</v>
      </c>
      <c r="G16" s="26">
        <f>_xll.StatCorrelationCoeff( ST_Wins2009,ST_Wins2007)</f>
        <v>0.39174400897313461</v>
      </c>
      <c r="H16" s="26">
        <f>_xll.StatCorrelationCoeff( ST_Wins2009,ST_Wins2008)</f>
        <v>0.56927860288939414</v>
      </c>
      <c r="I16" s="26">
        <v>1</v>
      </c>
    </row>
    <row r="17" ht="15" customHeight="1" x14ac:dyDescent="0.25"/>
  </sheetData>
  <pageMargins left="0.7" right="0.7" top="0.75" bottom="0.75" header="0.3" footer="0.3"/>
  <pageSetup orientation="portrait" blackAndWhite="1"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ColWidth="12.7109375" defaultRowHeight="15" x14ac:dyDescent="0.25"/>
  <cols>
    <col min="1" max="1" width="13" bestFit="1" customWidth="1"/>
    <col min="2" max="9" width="12.7109375" customWidth="1"/>
  </cols>
  <sheetData>
    <row r="1" spans="1:9" s="13" customFormat="1" ht="18.75" x14ac:dyDescent="0.3">
      <c r="A1" s="15" t="s">
        <v>177</v>
      </c>
      <c r="B1" s="18" t="s">
        <v>178</v>
      </c>
    </row>
    <row r="2" spans="1:9" s="13" customFormat="1" ht="11.25" x14ac:dyDescent="0.2">
      <c r="A2" s="16" t="s">
        <v>179</v>
      </c>
      <c r="B2" s="18" t="s">
        <v>180</v>
      </c>
    </row>
    <row r="3" spans="1:9" s="13" customFormat="1" ht="11.25" x14ac:dyDescent="0.2">
      <c r="A3" s="16" t="s">
        <v>181</v>
      </c>
      <c r="B3" s="18" t="s">
        <v>182</v>
      </c>
    </row>
    <row r="4" spans="1:9" s="13" customFormat="1" ht="11.25" x14ac:dyDescent="0.2">
      <c r="A4" s="16" t="s">
        <v>183</v>
      </c>
      <c r="B4" s="18" t="s">
        <v>210</v>
      </c>
    </row>
    <row r="5" spans="1:9" s="14" customFormat="1" ht="11.25" x14ac:dyDescent="0.2">
      <c r="A5" s="17" t="s">
        <v>184</v>
      </c>
      <c r="B5" s="19" t="s">
        <v>185</v>
      </c>
    </row>
    <row r="6" spans="1:9" ht="15" customHeight="1" x14ac:dyDescent="0.25"/>
    <row r="7" spans="1:9" ht="15" customHeight="1" x14ac:dyDescent="0.25">
      <c r="A7" s="24"/>
      <c r="B7" s="21" t="s">
        <v>33</v>
      </c>
      <c r="C7" s="21" t="s">
        <v>34</v>
      </c>
      <c r="D7" s="21" t="s">
        <v>35</v>
      </c>
      <c r="E7" s="21" t="s">
        <v>36</v>
      </c>
      <c r="F7" s="21" t="s">
        <v>37</v>
      </c>
      <c r="G7" s="21" t="s">
        <v>38</v>
      </c>
      <c r="H7" s="21" t="s">
        <v>39</v>
      </c>
      <c r="I7" s="21" t="s">
        <v>40</v>
      </c>
    </row>
    <row r="8" spans="1:9" ht="15" customHeight="1" thickBot="1" x14ac:dyDescent="0.3">
      <c r="A8" s="25" t="s">
        <v>186</v>
      </c>
      <c r="B8" s="22" t="s">
        <v>63</v>
      </c>
      <c r="C8" s="22" t="s">
        <v>63</v>
      </c>
      <c r="D8" s="22" t="s">
        <v>63</v>
      </c>
      <c r="E8" s="22" t="s">
        <v>63</v>
      </c>
      <c r="F8" s="22" t="s">
        <v>63</v>
      </c>
      <c r="G8" s="22" t="s">
        <v>63</v>
      </c>
      <c r="H8" s="22" t="s">
        <v>63</v>
      </c>
      <c r="I8" s="22" t="s">
        <v>63</v>
      </c>
    </row>
    <row r="9" spans="1:9" ht="15" customHeight="1" thickTop="1" x14ac:dyDescent="0.25">
      <c r="A9" s="23" t="s">
        <v>33</v>
      </c>
      <c r="B9" s="26">
        <v>1</v>
      </c>
      <c r="C9" s="26"/>
      <c r="D9" s="26"/>
      <c r="E9" s="26"/>
      <c r="F9" s="26"/>
      <c r="G9" s="26"/>
      <c r="H9" s="26"/>
      <c r="I9" s="26"/>
    </row>
    <row r="10" spans="1:9" ht="15" customHeight="1" x14ac:dyDescent="0.25">
      <c r="A10" s="23" t="s">
        <v>34</v>
      </c>
      <c r="B10" s="26">
        <f>_xll.StatCorrelationCoeff( ST_Salary2003,ST_Salary2002)</f>
        <v>-0.2970024519938706</v>
      </c>
      <c r="C10" s="26">
        <v>1</v>
      </c>
      <c r="D10" s="26"/>
      <c r="E10" s="26"/>
      <c r="F10" s="26"/>
      <c r="G10" s="26"/>
      <c r="H10" s="26"/>
      <c r="I10" s="26"/>
    </row>
    <row r="11" spans="1:9" ht="15" customHeight="1" x14ac:dyDescent="0.25">
      <c r="A11" s="23" t="s">
        <v>35</v>
      </c>
      <c r="B11" s="26">
        <f>_xll.StatCorrelationCoeff( ST_Salary2004,ST_Salary2002)</f>
        <v>0.21871916047532849</v>
      </c>
      <c r="C11" s="26">
        <f>_xll.StatCorrelationCoeff( ST_Salary2004,ST_Salary2003)</f>
        <v>3.7591464097636688E-2</v>
      </c>
      <c r="D11" s="26">
        <v>1</v>
      </c>
      <c r="E11" s="26"/>
      <c r="F11" s="26"/>
      <c r="G11" s="26"/>
      <c r="H11" s="26"/>
      <c r="I11" s="26"/>
    </row>
    <row r="12" spans="1:9" ht="15" customHeight="1" x14ac:dyDescent="0.25">
      <c r="A12" s="23" t="s">
        <v>36</v>
      </c>
      <c r="B12" s="26">
        <f>_xll.StatCorrelationCoeff( ST_Salary2005,ST_Salary2002)</f>
        <v>0.11353869547858396</v>
      </c>
      <c r="C12" s="26">
        <f>_xll.StatCorrelationCoeff( ST_Salary2005,ST_Salary2003)</f>
        <v>1.6675439633388876E-2</v>
      </c>
      <c r="D12" s="26">
        <f>_xll.StatCorrelationCoeff( ST_Salary2005,ST_Salary2004)</f>
        <v>-0.19458094793440769</v>
      </c>
      <c r="E12" s="26">
        <v>1</v>
      </c>
      <c r="F12" s="26"/>
      <c r="G12" s="26"/>
      <c r="H12" s="26"/>
      <c r="I12" s="26"/>
    </row>
    <row r="13" spans="1:9" ht="15" customHeight="1" x14ac:dyDescent="0.25">
      <c r="A13" s="23" t="s">
        <v>37</v>
      </c>
      <c r="B13" s="26">
        <f>_xll.StatCorrelationCoeff( ST_Salary2006,ST_Salary2002)</f>
        <v>-0.22337827776008076</v>
      </c>
      <c r="C13" s="26">
        <f>_xll.StatCorrelationCoeff( ST_Salary2006,ST_Salary2003)</f>
        <v>0.23741434256812771</v>
      </c>
      <c r="D13" s="26">
        <f>_xll.StatCorrelationCoeff( ST_Salary2006,ST_Salary2004)</f>
        <v>0.17291503439306721</v>
      </c>
      <c r="E13" s="26">
        <f>_xll.StatCorrelationCoeff( ST_Salary2006,ST_Salary2005)</f>
        <v>-0.12617041258502329</v>
      </c>
      <c r="F13" s="26">
        <v>1</v>
      </c>
      <c r="G13" s="26"/>
      <c r="H13" s="26"/>
      <c r="I13" s="26"/>
    </row>
    <row r="14" spans="1:9" ht="15" customHeight="1" x14ac:dyDescent="0.25">
      <c r="A14" s="23" t="s">
        <v>38</v>
      </c>
      <c r="B14" s="26">
        <f>_xll.StatCorrelationCoeff( ST_Salary2007,ST_Salary2002)</f>
        <v>-0.13918337671248185</v>
      </c>
      <c r="C14" s="26">
        <f>_xll.StatCorrelationCoeff( ST_Salary2007,ST_Salary2003)</f>
        <v>5.7257963024714351E-2</v>
      </c>
      <c r="D14" s="26">
        <f>_xll.StatCorrelationCoeff( ST_Salary2007,ST_Salary2004)</f>
        <v>0.16181326632450863</v>
      </c>
      <c r="E14" s="26">
        <f>_xll.StatCorrelationCoeff( ST_Salary2007,ST_Salary2005)</f>
        <v>-2.8307538782721593E-2</v>
      </c>
      <c r="F14" s="26">
        <f>_xll.StatCorrelationCoeff( ST_Salary2007,ST_Salary2006)</f>
        <v>0.10707064792950609</v>
      </c>
      <c r="G14" s="26">
        <v>1</v>
      </c>
      <c r="H14" s="26"/>
      <c r="I14" s="26"/>
    </row>
    <row r="15" spans="1:9" ht="15" customHeight="1" x14ac:dyDescent="0.25">
      <c r="A15" s="23" t="s">
        <v>39</v>
      </c>
      <c r="B15" s="26">
        <f>_xll.StatCorrelationCoeff( ST_Salary2008,ST_Salary2002)</f>
        <v>0.19662833447726655</v>
      </c>
      <c r="C15" s="26">
        <f>_xll.StatCorrelationCoeff( ST_Salary2008,ST_Salary2003)</f>
        <v>1.8688644536150219E-3</v>
      </c>
      <c r="D15" s="26">
        <f>_xll.StatCorrelationCoeff( ST_Salary2008,ST_Salary2004)</f>
        <v>-0.20750979118827542</v>
      </c>
      <c r="E15" s="26">
        <f>_xll.StatCorrelationCoeff( ST_Salary2008,ST_Salary2005)</f>
        <v>-0.12484507195109094</v>
      </c>
      <c r="F15" s="26">
        <f>_xll.StatCorrelationCoeff( ST_Salary2008,ST_Salary2006)</f>
        <v>-7.9907875032034087E-2</v>
      </c>
      <c r="G15" s="26">
        <f>_xll.StatCorrelationCoeff( ST_Salary2008,ST_Salary2007)</f>
        <v>0.11565373409134769</v>
      </c>
      <c r="H15" s="26">
        <v>1</v>
      </c>
      <c r="I15" s="26"/>
    </row>
    <row r="16" spans="1:9" ht="15" customHeight="1" x14ac:dyDescent="0.25">
      <c r="A16" s="23" t="s">
        <v>40</v>
      </c>
      <c r="B16" s="26">
        <f>_xll.StatCorrelationCoeff( ST_Salary2009,ST_Salary2002)</f>
        <v>0.26645748721501694</v>
      </c>
      <c r="C16" s="26">
        <f>_xll.StatCorrelationCoeff( ST_Salary2009,ST_Salary2003)</f>
        <v>-0.43602486828913739</v>
      </c>
      <c r="D16" s="26">
        <f>_xll.StatCorrelationCoeff( ST_Salary2009,ST_Salary2004)</f>
        <v>-2.4669031805514767E-2</v>
      </c>
      <c r="E16" s="26">
        <f>_xll.StatCorrelationCoeff( ST_Salary2009,ST_Salary2005)</f>
        <v>-0.19369213628405124</v>
      </c>
      <c r="F16" s="26">
        <f>_xll.StatCorrelationCoeff( ST_Salary2009,ST_Salary2006)</f>
        <v>1.7164854699983551E-2</v>
      </c>
      <c r="G16" s="26">
        <f>_xll.StatCorrelationCoeff( ST_Salary2009,ST_Salary2007)</f>
        <v>-0.25720458363885018</v>
      </c>
      <c r="H16" s="26">
        <f>_xll.StatCorrelationCoeff( ST_Salary2009,ST_Salary2008)</f>
        <v>0.50301700134589766</v>
      </c>
      <c r="I16" s="26">
        <v>1</v>
      </c>
    </row>
    <row r="17" ht="15" customHeight="1" x14ac:dyDescent="0.25"/>
  </sheetData>
  <pageMargins left="0.7" right="0.7" top="0.75" bottom="0.75" header="0.3" footer="0.3"/>
  <pageSetup orientation="portrait" blackAndWhite="1"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3"/>
  <sheetViews>
    <sheetView showGridLines="0" workbookViewId="0"/>
  </sheetViews>
  <sheetFormatPr defaultColWidth="12.7109375" defaultRowHeight="15" x14ac:dyDescent="0.25"/>
  <cols>
    <col min="1" max="1" width="20.5703125" bestFit="1" customWidth="1"/>
    <col min="2" max="2" width="22.28515625" bestFit="1" customWidth="1"/>
    <col min="6" max="7" width="12.7109375" customWidth="1"/>
    <col min="12" max="13" width="12.7109375" customWidth="1"/>
    <col min="18" max="19" width="12.7109375" customWidth="1"/>
  </cols>
  <sheetData>
    <row r="1" spans="1:2" s="13" customFormat="1" ht="18.75" x14ac:dyDescent="0.3">
      <c r="A1" s="35" t="s">
        <v>211</v>
      </c>
      <c r="B1" s="18"/>
    </row>
    <row r="2" spans="1:2" s="13" customFormat="1" ht="11.25" x14ac:dyDescent="0.2">
      <c r="A2" s="16" t="s">
        <v>179</v>
      </c>
      <c r="B2" s="18" t="s">
        <v>187</v>
      </c>
    </row>
    <row r="3" spans="1:2" s="13" customFormat="1" ht="11.25" x14ac:dyDescent="0.2">
      <c r="A3" s="16" t="s">
        <v>181</v>
      </c>
      <c r="B3" s="18" t="s">
        <v>212</v>
      </c>
    </row>
    <row r="4" spans="1:2" s="13" customFormat="1" ht="11.25" x14ac:dyDescent="0.2">
      <c r="A4" s="16" t="s">
        <v>183</v>
      </c>
      <c r="B4" s="18" t="s">
        <v>210</v>
      </c>
    </row>
    <row r="5" spans="1:2" s="14" customFormat="1" ht="11.25" x14ac:dyDescent="0.2">
      <c r="A5" s="17" t="s">
        <v>184</v>
      </c>
      <c r="B5" s="19" t="s">
        <v>185</v>
      </c>
    </row>
    <row r="24" spans="1:19" x14ac:dyDescent="0.25">
      <c r="A24" s="27" t="s">
        <v>188</v>
      </c>
      <c r="B24" s="28">
        <f>_xll.StatCorrelationCoeff(ST_Salary2002,ST_Wins2002)</f>
        <v>0.3211519537014012</v>
      </c>
      <c r="F24" s="27" t="s">
        <v>188</v>
      </c>
      <c r="G24" s="28">
        <f>_xll.StatCorrelationCoeff([0]!ST_Salary2003,[0]!ST_Wins2003)</f>
        <v>0.28697177450183381</v>
      </c>
      <c r="L24" s="27" t="s">
        <v>188</v>
      </c>
      <c r="M24" s="28">
        <f>_xll.StatCorrelationCoeff([0]!ST_Salary2004,[0]!ST_Wins2004)</f>
        <v>0.15357125242281777</v>
      </c>
      <c r="R24" s="27" t="s">
        <v>188</v>
      </c>
      <c r="S24" s="28">
        <f>_xll.StatCorrelationCoeff([0]!ST_Salary2005,[0]!ST_Wins2005)</f>
        <v>-0.10487210119177924</v>
      </c>
    </row>
    <row r="43" spans="1:19" x14ac:dyDescent="0.25">
      <c r="A43" s="27" t="s">
        <v>188</v>
      </c>
      <c r="B43" s="28">
        <f>_xll.StatCorrelationCoeff([0]!ST_Salary2006,[0]!ST_Wins2006)</f>
        <v>8.6243081736812638E-2</v>
      </c>
      <c r="F43" s="27" t="s">
        <v>188</v>
      </c>
      <c r="G43" s="28">
        <f>_xll.StatCorrelationCoeff([0]!ST_Salary2007,[0]!ST_Wins2007)</f>
        <v>6.8388799028037739E-2</v>
      </c>
      <c r="L43" s="27" t="s">
        <v>188</v>
      </c>
      <c r="M43" s="28">
        <f>_xll.StatCorrelationCoeff([0]!ST_Salary2008,[0]!ST_Wins2008)</f>
        <v>0.23710112842782455</v>
      </c>
      <c r="R43" s="27" t="s">
        <v>188</v>
      </c>
      <c r="S43" s="28">
        <f>_xll.StatCorrelationCoeff([0]!ST_Salary2009,[0]!ST_Wins2009)</f>
        <v>0.30057098198062376</v>
      </c>
    </row>
  </sheetData>
  <pageMargins left="0.7" right="0.7" top="0.75" bottom="0.75" header="0.3" footer="0.3"/>
  <pageSetup orientation="portrait" blackAndWhite="1"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workbookViewId="0"/>
  </sheetViews>
  <sheetFormatPr defaultRowHeight="15" x14ac:dyDescent="0.25"/>
  <cols>
    <col min="1" max="1" width="13.140625" customWidth="1"/>
    <col min="2" max="2" width="21" customWidth="1"/>
    <col min="3" max="3" width="17.5703125" bestFit="1" customWidth="1"/>
  </cols>
  <sheetData>
    <row r="1" spans="1:4" x14ac:dyDescent="0.25">
      <c r="D1" t="s">
        <v>209</v>
      </c>
    </row>
    <row r="3" spans="1:4" x14ac:dyDescent="0.25">
      <c r="A3" s="33" t="s">
        <v>199</v>
      </c>
      <c r="B3" t="s">
        <v>201</v>
      </c>
    </row>
    <row r="4" spans="1:4" x14ac:dyDescent="0.25">
      <c r="A4" s="11" t="s">
        <v>197</v>
      </c>
      <c r="B4" s="1">
        <v>1011629.75</v>
      </c>
    </row>
    <row r="5" spans="1:4" x14ac:dyDescent="0.25">
      <c r="A5" s="11" t="s">
        <v>198</v>
      </c>
      <c r="B5" s="1">
        <v>1226255.0833333333</v>
      </c>
      <c r="D5" s="34">
        <f>GETPIVOTDATA("Salary 2002",$A$3,"Playoffs 2002","Yes")/GETPIVOTDATA("Salary 2002",$A$3,"Playoffs 2002","No")-1</f>
        <v>0.21215798896121152</v>
      </c>
    </row>
    <row r="6" spans="1:4" x14ac:dyDescent="0.25">
      <c r="A6" s="11" t="s">
        <v>200</v>
      </c>
      <c r="B6" s="1">
        <v>1092114.25</v>
      </c>
    </row>
    <row r="9" spans="1:4" x14ac:dyDescent="0.25">
      <c r="A9" s="33" t="s">
        <v>199</v>
      </c>
      <c r="B9" t="s">
        <v>202</v>
      </c>
    </row>
    <row r="10" spans="1:4" x14ac:dyDescent="0.25">
      <c r="A10" s="11" t="s">
        <v>197</v>
      </c>
      <c r="B10" s="1">
        <v>1237694.8999999999</v>
      </c>
    </row>
    <row r="11" spans="1:4" x14ac:dyDescent="0.25">
      <c r="A11" s="11" t="s">
        <v>198</v>
      </c>
      <c r="B11" s="1">
        <v>1298160.9166666667</v>
      </c>
      <c r="D11" s="34">
        <f>GETPIVOTDATA("Salary 2003",$A$9,"Playoffs 2003","Yes")/GETPIVOTDATA("Salary 2003",$A$9,"Playoffs 2003","No")-1</f>
        <v>4.8853733393154464E-2</v>
      </c>
    </row>
    <row r="12" spans="1:4" x14ac:dyDescent="0.25">
      <c r="A12" s="11" t="s">
        <v>200</v>
      </c>
      <c r="B12" s="1">
        <v>1260369.65625</v>
      </c>
    </row>
    <row r="15" spans="1:4" x14ac:dyDescent="0.25">
      <c r="A15" s="33" t="s">
        <v>199</v>
      </c>
      <c r="B15" t="s">
        <v>203</v>
      </c>
    </row>
    <row r="16" spans="1:4" x14ac:dyDescent="0.25">
      <c r="A16" s="11" t="s">
        <v>197</v>
      </c>
      <c r="B16" s="1">
        <v>1226102.25</v>
      </c>
    </row>
    <row r="17" spans="1:4" x14ac:dyDescent="0.25">
      <c r="A17" s="11" t="s">
        <v>198</v>
      </c>
      <c r="B17" s="1">
        <v>1276598.0833333333</v>
      </c>
      <c r="D17" s="34">
        <f>GETPIVOTDATA("Salary 2004",$A$15,"Playoffs 2004","Yes")/GETPIVOTDATA("Salary 2004",$A$15,"Playoffs 2004","No")-1</f>
        <v>4.1184031212187389E-2</v>
      </c>
    </row>
    <row r="18" spans="1:4" x14ac:dyDescent="0.25">
      <c r="A18" s="11" t="s">
        <v>200</v>
      </c>
      <c r="B18" s="1">
        <v>1245038.1875</v>
      </c>
    </row>
    <row r="21" spans="1:4" x14ac:dyDescent="0.25">
      <c r="A21" s="33" t="s">
        <v>199</v>
      </c>
      <c r="B21" t="s">
        <v>204</v>
      </c>
    </row>
    <row r="22" spans="1:4" x14ac:dyDescent="0.25">
      <c r="A22" s="11" t="s">
        <v>197</v>
      </c>
      <c r="B22" s="1">
        <v>1362603.3</v>
      </c>
    </row>
    <row r="23" spans="1:4" x14ac:dyDescent="0.25">
      <c r="A23" s="11" t="s">
        <v>198</v>
      </c>
      <c r="B23" s="1">
        <v>1292018.3333333333</v>
      </c>
      <c r="D23" s="34">
        <f>GETPIVOTDATA("Salary 2005",$A$21,"Playoffs 2005","Yes")/GETPIVOTDATA("Salary 2005",$A$21,"Playoffs 2005","No")-1</f>
        <v>-5.1801552709190402E-2</v>
      </c>
    </row>
    <row r="24" spans="1:4" x14ac:dyDescent="0.25">
      <c r="A24" s="11" t="s">
        <v>200</v>
      </c>
      <c r="B24" s="1">
        <v>1336133.9375</v>
      </c>
    </row>
    <row r="27" spans="1:4" x14ac:dyDescent="0.25">
      <c r="A27" s="33" t="s">
        <v>199</v>
      </c>
      <c r="B27" t="s">
        <v>205</v>
      </c>
    </row>
    <row r="28" spans="1:4" x14ac:dyDescent="0.25">
      <c r="A28" s="11" t="s">
        <v>197</v>
      </c>
      <c r="B28" s="1">
        <v>1693686.95</v>
      </c>
    </row>
    <row r="29" spans="1:4" x14ac:dyDescent="0.25">
      <c r="A29" s="11" t="s">
        <v>198</v>
      </c>
      <c r="B29" s="1">
        <v>1681436.4166666667</v>
      </c>
      <c r="D29" s="34">
        <f>GETPIVOTDATA("Salary 2006",$A$27,"Playoffs 2006","Yes")/GETPIVOTDATA("Salary 2006",$A$27,"Playoffs 2006","No")-1</f>
        <v>-7.2330564590659119E-3</v>
      </c>
    </row>
    <row r="30" spans="1:4" x14ac:dyDescent="0.25">
      <c r="A30" s="11" t="s">
        <v>200</v>
      </c>
      <c r="B30" s="1">
        <v>1689093</v>
      </c>
    </row>
    <row r="33" spans="1:4" x14ac:dyDescent="0.25">
      <c r="A33" s="33" t="s">
        <v>199</v>
      </c>
      <c r="B33" t="s">
        <v>206</v>
      </c>
    </row>
    <row r="34" spans="1:4" x14ac:dyDescent="0.25">
      <c r="A34" s="11" t="s">
        <v>197</v>
      </c>
      <c r="B34" s="1">
        <v>1716246.15</v>
      </c>
    </row>
    <row r="35" spans="1:4" x14ac:dyDescent="0.25">
      <c r="A35" s="11" t="s">
        <v>198</v>
      </c>
      <c r="B35" s="1">
        <v>1720473.75</v>
      </c>
      <c r="D35" s="34">
        <f>GETPIVOTDATA("Salary 2007",$A$33,"Playoffs 2007","Yes")/GETPIVOTDATA("Salary 2007",$A$33,"Playoffs 2007","No")-1</f>
        <v>2.4632830203290546E-3</v>
      </c>
    </row>
    <row r="36" spans="1:4" x14ac:dyDescent="0.25">
      <c r="A36" s="11" t="s">
        <v>200</v>
      </c>
      <c r="B36" s="1">
        <v>1717831.5</v>
      </c>
    </row>
    <row r="39" spans="1:4" x14ac:dyDescent="0.25">
      <c r="A39" s="33" t="s">
        <v>199</v>
      </c>
      <c r="B39" t="s">
        <v>207</v>
      </c>
    </row>
    <row r="40" spans="1:4" x14ac:dyDescent="0.25">
      <c r="A40" s="11" t="s">
        <v>197</v>
      </c>
      <c r="B40" s="1">
        <v>1913029.4</v>
      </c>
    </row>
    <row r="41" spans="1:4" x14ac:dyDescent="0.25">
      <c r="A41" s="11" t="s">
        <v>198</v>
      </c>
      <c r="B41" s="1">
        <v>2019522.6666666667</v>
      </c>
      <c r="D41" s="34">
        <f>GETPIVOTDATA("Salary 2008",$A$39,"Playoffs 2008","Yes")/GETPIVOTDATA("Salary 2008",$A$39,"Playoffs 2008","No")-1</f>
        <v>5.5667344509533923E-2</v>
      </c>
    </row>
    <row r="42" spans="1:4" x14ac:dyDescent="0.25">
      <c r="A42" s="11" t="s">
        <v>200</v>
      </c>
      <c r="B42" s="1">
        <v>1952964.375</v>
      </c>
    </row>
    <row r="45" spans="1:4" x14ac:dyDescent="0.25">
      <c r="A45" s="33" t="s">
        <v>199</v>
      </c>
      <c r="B45" t="s">
        <v>208</v>
      </c>
    </row>
    <row r="46" spans="1:4" x14ac:dyDescent="0.25">
      <c r="A46" s="11" t="s">
        <v>197</v>
      </c>
      <c r="B46" s="1">
        <v>1882578.25</v>
      </c>
    </row>
    <row r="47" spans="1:4" x14ac:dyDescent="0.25">
      <c r="A47" s="11" t="s">
        <v>198</v>
      </c>
      <c r="B47" s="1">
        <v>1848281.8333333333</v>
      </c>
      <c r="D47" s="34">
        <f>GETPIVOTDATA("Salary 2009",$A$45,"Playoffs 2009","Yes")/GETPIVOTDATA("Salary 2009",$A$45,"Playoffs 2009","No")-1</f>
        <v>-1.8217790770007403E-2</v>
      </c>
    </row>
    <row r="48" spans="1:4" x14ac:dyDescent="0.25">
      <c r="A48" s="11" t="s">
        <v>200</v>
      </c>
      <c r="B48" s="1">
        <v>1869717.09375</v>
      </c>
    </row>
  </sheetData>
  <pageMargins left="0.7" right="0.7" top="0.75" bottom="0.75" header="0.3" footer="0.3"/>
  <drawing r:id="rId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20</vt:i4>
      </vt:variant>
    </vt:vector>
  </HeadingPairs>
  <TitlesOfParts>
    <vt:vector size="27" baseType="lpstr">
      <vt:lpstr>Source</vt:lpstr>
      <vt:lpstr>Data</vt:lpstr>
      <vt:lpstr>_STDS_DG27C875B7</vt:lpstr>
      <vt:lpstr>Correlation Wins</vt:lpstr>
      <vt:lpstr>Correlation Salaries</vt:lpstr>
      <vt:lpstr>Scatterplot</vt:lpstr>
      <vt:lpstr>Pivot Tables</vt:lpstr>
      <vt:lpstr>ST_Salary2002</vt:lpstr>
      <vt:lpstr>ST_Salary2003</vt:lpstr>
      <vt:lpstr>ST_Salary2004</vt:lpstr>
      <vt:lpstr>ST_Salary2005</vt:lpstr>
      <vt:lpstr>ST_Salary2006</vt:lpstr>
      <vt:lpstr>ST_Salary2007</vt:lpstr>
      <vt:lpstr>ST_Salary2008</vt:lpstr>
      <vt:lpstr>ST_Salary2009</vt:lpstr>
      <vt:lpstr>ST_Team</vt:lpstr>
      <vt:lpstr>ST_Wins2002</vt:lpstr>
      <vt:lpstr>ST_Wins2003</vt:lpstr>
      <vt:lpstr>ST_Wins2004</vt:lpstr>
      <vt:lpstr>ST_Wins2005</vt:lpstr>
      <vt:lpstr>ST_Wins2006</vt:lpstr>
      <vt:lpstr>ST_Wins2007</vt:lpstr>
      <vt:lpstr>ST_Wins2008</vt:lpstr>
      <vt:lpstr>ST_Wins2009</vt:lpstr>
      <vt:lpstr>'Correlation Salaries'!StatToolsHeader</vt:lpstr>
      <vt:lpstr>'Correlation Wins'!StatToolsHeader</vt:lpstr>
      <vt:lpstr>Scatterplot!StatToolsHeader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Chris Albright</dc:creator>
  <cp:lastModifiedBy>Chris</cp:lastModifiedBy>
  <dcterms:created xsi:type="dcterms:W3CDTF">2010-03-06T17:10:04Z</dcterms:created>
  <dcterms:modified xsi:type="dcterms:W3CDTF">2012-10-12T18:25:17Z</dcterms:modified>
</cp:coreProperties>
</file>