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3" r:id="rId1"/>
    <sheet name="Data" sheetId="2" r:id="rId2"/>
    <sheet name="One Var Summary across States" sheetId="5" r:id="rId3"/>
    <sheet name="Data 2" sheetId="6" r:id="rId4"/>
    <sheet name="One Var Summary across Years" sheetId="9" r:id="rId5"/>
    <sheet name="_STDS_DG1DDCA125" sheetId="12" state="hidden" r:id="rId6"/>
    <sheet name="_STDS_DGDCBD82B" sheetId="13" state="hidden" r:id="rId7"/>
  </sheets>
  <definedNames>
    <definedName name="PalisadeReportWorksheetCreatedBy" localSheetId="2" hidden="1">"StatTools"</definedName>
    <definedName name="PalisadeReportWorksheetCreatedBy" localSheetId="4" hidden="1">"StatTools"</definedName>
    <definedName name="ST_1984">Data!$B$2:$B$52</definedName>
    <definedName name="ST_1985">Data!$C$2:$C$52</definedName>
    <definedName name="ST_1986">Data!$D$2:$D$52</definedName>
    <definedName name="ST_1987">Data!$E$2:$E$52</definedName>
    <definedName name="ST_1988">Data!$F$2:$F$52</definedName>
    <definedName name="ST_1989">Data!$G$2:$G$52</definedName>
    <definedName name="ST_1990">Data!$H$2:$H$52</definedName>
    <definedName name="ST_1991">Data!$I$2:$I$52</definedName>
    <definedName name="ST_1992">Data!$J$2:$J$52</definedName>
    <definedName name="ST_1993">Data!$K$2:$K$52</definedName>
    <definedName name="ST_1994">Data!$L$2:$L$52</definedName>
    <definedName name="ST_1995">Data!$M$2:$M$52</definedName>
    <definedName name="ST_1996">Data!$N$2:$N$52</definedName>
    <definedName name="ST_1997">Data!$O$2:$O$52</definedName>
    <definedName name="ST_1998">Data!$P$2:$P$52</definedName>
    <definedName name="ST_1999">Data!$Q$2:$Q$52</definedName>
    <definedName name="ST_2000">Data!$R$2:$R$52</definedName>
    <definedName name="ST_2001">Data!$S$2:$S$52</definedName>
    <definedName name="ST_2002">Data!$T$2:$T$52</definedName>
    <definedName name="ST_2003">Data!$U$2:$U$52</definedName>
    <definedName name="ST_2004">Data!$V$2:$V$52</definedName>
    <definedName name="ST_2005">Data!$W$2:$W$52</definedName>
    <definedName name="ST_2006">Data!$X$2:$X$52</definedName>
    <definedName name="ST_2007">Data!$Y$2:$Y$52</definedName>
    <definedName name="ST_2008">Data!$Z$2:$Z$52</definedName>
    <definedName name="ST_2009">Data!$AA$2:$AA$52</definedName>
    <definedName name="ST_2010">Data!$AB$2:$AB$52</definedName>
    <definedName name="ST_2011">Data!$AC$2:$AC$52</definedName>
    <definedName name="ST_2012">Data!$AD$2:$AD$52</definedName>
    <definedName name="ST_2013">Data!$AE$2:$AE$52</definedName>
    <definedName name="ST_2014">Data!$AF$2:$AF$52</definedName>
    <definedName name="ST_Alabama">'Data 2'!$B$2:$AF$2</definedName>
    <definedName name="ST_Alaska">'Data 2'!$B$3:$AF$3</definedName>
    <definedName name="ST_Arizona">'Data 2'!$B$4:$AF$4</definedName>
    <definedName name="ST_Arkansas">'Data 2'!$B$5:$AF$5</definedName>
    <definedName name="ST_California">'Data 2'!$B$6:$AF$6</definedName>
    <definedName name="ST_Colorado">'Data 2'!$B$7:$AF$7</definedName>
    <definedName name="ST_Connecticut">'Data 2'!$B$8:$AF$8</definedName>
    <definedName name="ST_Delaware">'Data 2'!$B$9:$AF$9</definedName>
    <definedName name="ST_DistofColumbia">'Data 2'!$B$10:$AF$10</definedName>
    <definedName name="ST_Florida">'Data 2'!$B$11:$AF$11</definedName>
    <definedName name="ST_Georgia">'Data 2'!$B$12:$AF$12</definedName>
    <definedName name="ST_Hawaii">'Data 2'!$B$13:$AF$13</definedName>
    <definedName name="ST_Idaho">'Data 2'!$B$14:$AF$14</definedName>
    <definedName name="ST_Illinois">'Data 2'!$B$15:$AF$15</definedName>
    <definedName name="ST_Indiana">'Data 2'!$B$16:$AF$16</definedName>
    <definedName name="ST_Iowa">'Data 2'!$B$17:$AF$17</definedName>
    <definedName name="ST_Kansas">'Data 2'!$B$18:$AF$18</definedName>
    <definedName name="ST_Kentucky">'Data 2'!$B$19:$AF$19</definedName>
    <definedName name="ST_Louisiana">'Data 2'!$B$20:$AF$20</definedName>
    <definedName name="ST_Maine">'Data 2'!$B$21:$AF$21</definedName>
    <definedName name="ST_Maryland">'Data 2'!$B$22:$AF$22</definedName>
    <definedName name="ST_Massachusetts">'Data 2'!$B$23:$AF$23</definedName>
    <definedName name="ST_Michigan">'Data 2'!$B$24:$AF$24</definedName>
    <definedName name="ST_Minnesota">'Data 2'!$B$25:$AF$25</definedName>
    <definedName name="ST_Mississippi">'Data 2'!$B$26:$AF$26</definedName>
    <definedName name="ST_Missouri">'Data 2'!$B$27:$AF$27</definedName>
    <definedName name="ST_Montana">'Data 2'!$B$28:$AF$28</definedName>
    <definedName name="ST_Nebraska">'Data 2'!$B$29:$AF$29</definedName>
    <definedName name="ST_Nevada">'Data 2'!$B$30:$AF$30</definedName>
    <definedName name="ST_NewHampshire">'Data 2'!$B$31:$AF$31</definedName>
    <definedName name="ST_NewJersey">'Data 2'!$B$32:$AF$32</definedName>
    <definedName name="ST_NewMexico">'Data 2'!$B$33:$AF$33</definedName>
    <definedName name="ST_NewYork">'Data 2'!$B$34:$AF$34</definedName>
    <definedName name="ST_NorthCarolina">'Data 2'!$B$35:$AF$35</definedName>
    <definedName name="ST_NorthDakota">'Data 2'!$B$36:$AF$36</definedName>
    <definedName name="ST_Ohio">'Data 2'!$B$37:$AF$37</definedName>
    <definedName name="ST_Oklahoma">'Data 2'!$B$38:$AF$38</definedName>
    <definedName name="ST_Oregon">'Data 2'!$B$39:$AF$39</definedName>
    <definedName name="ST_Pennsylvania">'Data 2'!$B$40:$AF$40</definedName>
    <definedName name="ST_RhodeIsland">'Data 2'!$B$41:$AF$41</definedName>
    <definedName name="ST_SouthCarolina">'Data 2'!$B$42:$AF$42</definedName>
    <definedName name="ST_SouthDakota">'Data 2'!$B$43:$AF$43</definedName>
    <definedName name="ST_State">Data!$A$2:$A$52</definedName>
    <definedName name="ST_Tennessee">'Data 2'!$B$44:$AF$44</definedName>
    <definedName name="ST_Texas">'Data 2'!$B$45:$AF$45</definedName>
    <definedName name="ST_Utah">'Data 2'!$B$46:$AF$46</definedName>
    <definedName name="ST_Vermont">'Data 2'!$B$47:$AF$47</definedName>
    <definedName name="ST_Virginia">'Data 2'!$B$48:$AF$48</definedName>
    <definedName name="ST_Washington">'Data 2'!$B$49:$AF$49</definedName>
    <definedName name="ST_WestVirginia">'Data 2'!$B$50:$AF$50</definedName>
    <definedName name="ST_Wisconsin">'Data 2'!$B$51:$AF$51</definedName>
    <definedName name="ST_Wyoming">'Data 2'!$B$52:$AF$52</definedName>
    <definedName name="ST_Year">'Data 2'!$B$1:$AF$1</definedName>
    <definedName name="StatToolsHeader" localSheetId="2">'One Var Summary across States'!$1:$5</definedName>
    <definedName name="StatToolsHeader" localSheetId="4">'One Var Summary across Years'!$1:$5</definedName>
    <definedName name="STWBD_StatToolsOneVarSummary_Count" hidden="1">"FALSE"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"TRUE"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"TRUE"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31</definedName>
    <definedName name="STWBD_StatToolsOneVarSummary_VariableList_1" hidden="1">"U_x0001_VG2F0B668E4F2C493_x0001_"</definedName>
    <definedName name="STWBD_StatToolsOneVarSummary_VariableList_10" hidden="1">"U_x0001_VG2D983BAC9E9A9F7_x0001_"</definedName>
    <definedName name="STWBD_StatToolsOneVarSummary_VariableList_11" hidden="1">"U_x0001_VG1F2893353510975A_x0001_"</definedName>
    <definedName name="STWBD_StatToolsOneVarSummary_VariableList_12" hidden="1">"U_x0001_VGAA7939119AAFEA0_x0001_"</definedName>
    <definedName name="STWBD_StatToolsOneVarSummary_VariableList_13" hidden="1">"U_x0001_VG7BF549F24E6603_x0001_"</definedName>
    <definedName name="STWBD_StatToolsOneVarSummary_VariableList_14" hidden="1">"U_x0001_VG23D4A1E65B892AE_x0001_"</definedName>
    <definedName name="STWBD_StatToolsOneVarSummary_VariableList_15" hidden="1">"U_x0001_VG1AB45462F38E5E8_x0001_"</definedName>
    <definedName name="STWBD_StatToolsOneVarSummary_VariableList_16" hidden="1">"U_x0001_VG3E900AB2C32DB6E_x0001_"</definedName>
    <definedName name="STWBD_StatToolsOneVarSummary_VariableList_17" hidden="1">"U_x0001_VG2791C0411B50D0C7_x0001_"</definedName>
    <definedName name="STWBD_StatToolsOneVarSummary_VariableList_18" hidden="1">"U_x0001_VG94F1472094D813_x0001_"</definedName>
    <definedName name="STWBD_StatToolsOneVarSummary_VariableList_19" hidden="1">"U_x0001_VG1E75CFE11381EB43_x0001_"</definedName>
    <definedName name="STWBD_StatToolsOneVarSummary_VariableList_2" hidden="1">"U_x0001_VG26BDE3FC23BD3F20_x0001_"</definedName>
    <definedName name="STWBD_StatToolsOneVarSummary_VariableList_20" hidden="1">"U_x0001_VG32603E694D88120_x0001_"</definedName>
    <definedName name="STWBD_StatToolsOneVarSummary_VariableList_21" hidden="1">"U_x0001_VGAFA38A73165CF18_x0001_"</definedName>
    <definedName name="STWBD_StatToolsOneVarSummary_VariableList_22" hidden="1">"U_x0001_VG15687BEE23CDE7A7_x0001_"</definedName>
    <definedName name="STWBD_StatToolsOneVarSummary_VariableList_23" hidden="1">"U_x0001_VG54DD4474DB2508_x0001_"</definedName>
    <definedName name="STWBD_StatToolsOneVarSummary_VariableList_24" hidden="1">"U_x0001_VG27C9D81528F590B9_x0001_"</definedName>
    <definedName name="STWBD_StatToolsOneVarSummary_VariableList_25" hidden="1">"U_x0001_VGBFC74B936652A1_x0001_"</definedName>
    <definedName name="STWBD_StatToolsOneVarSummary_VariableList_26" hidden="1">"U_x0001_VG28ED819C13E5AA08_x0001_"</definedName>
    <definedName name="STWBD_StatToolsOneVarSummary_VariableList_27" hidden="1">"U_x0001_VG30B955CA3134629D_x0001_"</definedName>
    <definedName name="STWBD_StatToolsOneVarSummary_VariableList_28" hidden="1">"U_x0001_VG148003063075D51A_x0001_"</definedName>
    <definedName name="STWBD_StatToolsOneVarSummary_VariableList_29" hidden="1">"U_x0001_VG164E780C23DED300_x0001_"</definedName>
    <definedName name="STWBD_StatToolsOneVarSummary_VariableList_3" hidden="1">"U_x0001_VG1E97787A1F119C7_x0001_"</definedName>
    <definedName name="STWBD_StatToolsOneVarSummary_VariableList_30" hidden="1">"U_x0001_VG3B5381AA3715710C_x0001_"</definedName>
    <definedName name="STWBD_StatToolsOneVarSummary_VariableList_31" hidden="1">"U_x0001_VG2839FEAA2178A8A8_x0001_"</definedName>
    <definedName name="STWBD_StatToolsOneVarSummary_VariableList_4" hidden="1">"U_x0001_VG6F3C96163F6252_x0001_"</definedName>
    <definedName name="STWBD_StatToolsOneVarSummary_VariableList_5" hidden="1">"U_x0001_VG30F7926435C3D16C_x0001_"</definedName>
    <definedName name="STWBD_StatToolsOneVarSummary_VariableList_6" hidden="1">"U_x0001_VG2CFF40A030375BF7_x0001_"</definedName>
    <definedName name="STWBD_StatToolsOneVarSummary_VariableList_7" hidden="1">"U_x0001_VG4E74828193544CB_x0001_"</definedName>
    <definedName name="STWBD_StatToolsOneVarSummary_VariableList_8" hidden="1">"U_x0001_VG1F3889271A70C9B4_x0001_"</definedName>
    <definedName name="STWBD_StatToolsOneVarSummary_VariableList_9" hidden="1">"U_x0001_VG3366A6F1117612DD_x0001_"</definedName>
    <definedName name="STWBD_StatToolsOneVarSummary_Variance" hidden="1">"FALSE"</definedName>
    <definedName name="STWBD_StatToolsOneVarSummary_VarSelectorDefaultDataSet" hidden="1">"DGDCBD82B"</definedName>
  </definedNames>
  <calcPr calcId="162913"/>
</workbook>
</file>

<file path=xl/calcChain.xml><?xml version="1.0" encoding="utf-8"?>
<calcChain xmlns="http://schemas.openxmlformats.org/spreadsheetml/2006/main">
  <c r="B106" i="13" l="1"/>
  <c r="B103" i="13"/>
  <c r="B100" i="13"/>
  <c r="B97" i="13"/>
  <c r="B94" i="13"/>
  <c r="B91" i="13"/>
  <c r="B88" i="13"/>
  <c r="B85" i="13"/>
  <c r="B82" i="13"/>
  <c r="B79" i="13"/>
  <c r="B76" i="13"/>
  <c r="B73" i="13"/>
  <c r="B70" i="13"/>
  <c r="B67" i="13"/>
  <c r="B64" i="13"/>
  <c r="B61" i="13"/>
  <c r="B58" i="13"/>
  <c r="B55" i="13"/>
  <c r="B52" i="13"/>
  <c r="B49" i="13"/>
  <c r="B46" i="13"/>
  <c r="B43" i="13"/>
  <c r="B40" i="13"/>
  <c r="B37" i="13"/>
  <c r="B34" i="13"/>
  <c r="B31" i="13"/>
  <c r="B28" i="13"/>
  <c r="B25" i="13"/>
  <c r="B22" i="13"/>
  <c r="B19" i="13"/>
  <c r="B16" i="13"/>
  <c r="B13" i="13"/>
  <c r="B9" i="13"/>
  <c r="B7" i="13"/>
  <c r="B3" i="13"/>
  <c r="B166" i="12"/>
  <c r="B163" i="12"/>
  <c r="B160" i="12"/>
  <c r="B157" i="12"/>
  <c r="B154" i="12"/>
  <c r="B151" i="12"/>
  <c r="B148" i="12"/>
  <c r="B145" i="12"/>
  <c r="B142" i="12"/>
  <c r="B139" i="12"/>
  <c r="B136" i="12"/>
  <c r="B133" i="12"/>
  <c r="B130" i="12"/>
  <c r="B127" i="12"/>
  <c r="B124" i="12"/>
  <c r="B121" i="12"/>
  <c r="B118" i="12"/>
  <c r="B115" i="12"/>
  <c r="B112" i="12"/>
  <c r="B109" i="12"/>
  <c r="B106" i="12"/>
  <c r="B103" i="12"/>
  <c r="B100" i="12"/>
  <c r="B97" i="12"/>
  <c r="B94" i="12"/>
  <c r="B91" i="12"/>
  <c r="B88" i="12"/>
  <c r="B85" i="12"/>
  <c r="B82" i="12"/>
  <c r="B79" i="12"/>
  <c r="B76" i="12"/>
  <c r="B73" i="12"/>
  <c r="B70" i="12"/>
  <c r="B67" i="12"/>
  <c r="B64" i="12"/>
  <c r="B61" i="12"/>
  <c r="B58" i="12"/>
  <c r="B55" i="12"/>
  <c r="B52" i="12"/>
  <c r="B49" i="12"/>
  <c r="B46" i="12"/>
  <c r="B43" i="12"/>
  <c r="B40" i="12"/>
  <c r="B37" i="12"/>
  <c r="B34" i="12"/>
  <c r="B31" i="12"/>
  <c r="B28" i="12"/>
  <c r="B25" i="12"/>
  <c r="B22" i="12"/>
  <c r="B19" i="12"/>
  <c r="B16" i="12"/>
  <c r="B13" i="12"/>
  <c r="B9" i="12"/>
  <c r="B7" i="12"/>
  <c r="B3" i="12"/>
  <c r="Z9" i="5"/>
  <c r="P15" i="5"/>
  <c r="G14" i="5"/>
  <c r="AE13" i="5"/>
  <c r="V12" i="5"/>
  <c r="M11" i="5"/>
  <c r="D10" i="5"/>
  <c r="AE12" i="5"/>
  <c r="V11" i="5"/>
  <c r="M10" i="5"/>
  <c r="D9" i="5"/>
  <c r="AD10" i="5"/>
  <c r="U9" i="5"/>
  <c r="K15" i="5"/>
  <c r="B14" i="5"/>
  <c r="AD9" i="5"/>
  <c r="T15" i="5"/>
  <c r="K14" i="5"/>
  <c r="R10" i="5"/>
  <c r="Z12" i="5"/>
  <c r="Q11" i="5"/>
  <c r="H10" i="5"/>
  <c r="U13" i="5"/>
  <c r="Z11" i="5"/>
  <c r="Q10" i="5"/>
  <c r="H9" i="5"/>
  <c r="T12" i="5"/>
  <c r="J15" i="9"/>
  <c r="AY14" i="9"/>
  <c r="AZ9" i="9"/>
  <c r="Q14" i="9"/>
  <c r="L14" i="9"/>
  <c r="N11" i="9"/>
  <c r="AR12" i="9"/>
  <c r="F11" i="9"/>
  <c r="Q15" i="9"/>
  <c r="Y14" i="9"/>
  <c r="AG10" i="9"/>
  <c r="X14" i="9"/>
  <c r="D9" i="9"/>
  <c r="AP12" i="9"/>
  <c r="AX13" i="9"/>
  <c r="AJ14" i="9"/>
  <c r="AZ12" i="9"/>
  <c r="AV12" i="9"/>
  <c r="G13" i="9"/>
  <c r="X12" i="9"/>
  <c r="AF11" i="9"/>
  <c r="AV14" i="9"/>
  <c r="AX15" i="9"/>
  <c r="AA11" i="9"/>
  <c r="AN9" i="9"/>
  <c r="F10" i="9"/>
  <c r="J9" i="9"/>
  <c r="AA12" i="9"/>
  <c r="G9" i="9"/>
  <c r="AW11" i="9"/>
  <c r="AP15" i="9"/>
  <c r="AD15" i="9"/>
  <c r="AO15" i="9"/>
  <c r="Z12" i="9"/>
  <c r="AU15" i="9"/>
  <c r="AW12" i="9"/>
  <c r="B11" i="9"/>
  <c r="T13" i="9"/>
  <c r="G11" i="9"/>
  <c r="AB9" i="9"/>
  <c r="AX9" i="9"/>
  <c r="AZ10" i="9"/>
  <c r="AQ10" i="9"/>
  <c r="AG14" i="9"/>
  <c r="R15" i="9"/>
  <c r="AC11" i="9"/>
  <c r="K10" i="9"/>
  <c r="L15" i="9"/>
  <c r="R9" i="5"/>
  <c r="E10" i="5"/>
  <c r="L15" i="5"/>
  <c r="R11" i="5"/>
  <c r="AY11" i="9"/>
  <c r="Q13" i="9"/>
  <c r="J12" i="9"/>
  <c r="AM12" i="9"/>
  <c r="Z10" i="9"/>
  <c r="F14" i="9"/>
  <c r="X15" i="5"/>
  <c r="O14" i="5"/>
  <c r="F13" i="5"/>
  <c r="AD12" i="5"/>
  <c r="U11" i="5"/>
  <c r="L10" i="5"/>
  <c r="C9" i="5"/>
  <c r="AD11" i="5"/>
  <c r="U10" i="5"/>
  <c r="L9" i="5"/>
  <c r="B15" i="5"/>
  <c r="AC9" i="5"/>
  <c r="S15" i="5"/>
  <c r="J14" i="5"/>
  <c r="C14" i="5"/>
  <c r="AB15" i="5"/>
  <c r="S14" i="5"/>
  <c r="J13" i="5"/>
  <c r="K11" i="5"/>
  <c r="Y11" i="5"/>
  <c r="P10" i="5"/>
  <c r="G9" i="5"/>
  <c r="N14" i="5"/>
  <c r="Y10" i="5"/>
  <c r="P9" i="5"/>
  <c r="F15" i="5"/>
  <c r="M13" i="5"/>
  <c r="AZ15" i="9"/>
  <c r="E9" i="9"/>
  <c r="AR9" i="9"/>
  <c r="F13" i="9"/>
  <c r="S11" i="9"/>
  <c r="AC14" i="9"/>
  <c r="AF13" i="9"/>
  <c r="AH13" i="9"/>
  <c r="T11" i="9"/>
  <c r="AA9" i="9"/>
  <c r="AF15" i="9"/>
  <c r="AI9" i="9"/>
  <c r="AF12" i="9"/>
  <c r="E14" i="9"/>
  <c r="O10" i="9"/>
  <c r="G12" i="9"/>
  <c r="U9" i="9"/>
  <c r="J10" i="9"/>
  <c r="AK15" i="9"/>
  <c r="AL13" i="9"/>
  <c r="AL10" i="9"/>
  <c r="AM15" i="9"/>
  <c r="O11" i="9"/>
  <c r="AI15" i="9"/>
  <c r="K9" i="9"/>
  <c r="AO11" i="9"/>
  <c r="N9" i="9"/>
  <c r="AD12" i="9"/>
  <c r="R9" i="9"/>
  <c r="E13" i="9"/>
  <c r="T15" i="9"/>
  <c r="AB10" i="9"/>
  <c r="AT10" i="9"/>
  <c r="AZ13" i="9"/>
  <c r="D15" i="9"/>
  <c r="AG15" i="9"/>
  <c r="W13" i="9"/>
  <c r="W15" i="9"/>
  <c r="AQ12" i="9"/>
  <c r="U15" i="9"/>
  <c r="AF13" i="5"/>
  <c r="M9" i="5"/>
  <c r="AA13" i="5"/>
  <c r="AP11" i="9"/>
  <c r="AT14" i="9"/>
  <c r="D11" i="9"/>
  <c r="J11" i="9"/>
  <c r="AZ11" i="9"/>
  <c r="AV13" i="9"/>
  <c r="AC13" i="9"/>
  <c r="AF15" i="5"/>
  <c r="W14" i="5"/>
  <c r="N13" i="5"/>
  <c r="E12" i="5"/>
  <c r="AC11" i="5"/>
  <c r="T10" i="5"/>
  <c r="K9" i="5"/>
  <c r="AC13" i="5"/>
  <c r="AC10" i="5"/>
  <c r="T9" i="5"/>
  <c r="J15" i="5"/>
  <c r="D15" i="5"/>
  <c r="AA15" i="5"/>
  <c r="R14" i="5"/>
  <c r="I13" i="5"/>
  <c r="Z10" i="5"/>
  <c r="AA14" i="5"/>
  <c r="R13" i="5"/>
  <c r="I12" i="5"/>
  <c r="B10" i="5"/>
  <c r="X10" i="5"/>
  <c r="O9" i="5"/>
  <c r="E15" i="5"/>
  <c r="G15" i="5"/>
  <c r="X9" i="5"/>
  <c r="N15" i="5"/>
  <c r="E14" i="5"/>
  <c r="I9" i="5"/>
  <c r="Q12" i="9"/>
  <c r="N14" i="9"/>
  <c r="AS11" i="9"/>
  <c r="AD10" i="9"/>
  <c r="AD9" i="9"/>
  <c r="AV15" i="9"/>
  <c r="R14" i="9"/>
  <c r="AN12" i="9"/>
  <c r="AG12" i="9"/>
  <c r="AU14" i="9"/>
  <c r="G15" i="9"/>
  <c r="G14" i="9"/>
  <c r="P14" i="9"/>
  <c r="X13" i="9"/>
  <c r="S12" i="9"/>
  <c r="H14" i="9"/>
  <c r="H12" i="9"/>
  <c r="AA14" i="9"/>
  <c r="T10" i="9"/>
  <c r="AM14" i="9"/>
  <c r="AB14" i="9"/>
  <c r="AT13" i="9"/>
  <c r="Z11" i="9"/>
  <c r="AY12" i="9"/>
  <c r="K11" i="9"/>
  <c r="I11" i="9"/>
  <c r="S15" i="9"/>
  <c r="AH14" i="9"/>
  <c r="E10" i="9"/>
  <c r="AD11" i="9"/>
  <c r="AE10" i="9"/>
  <c r="F12" i="9"/>
  <c r="S10" i="9"/>
  <c r="AT11" i="9"/>
  <c r="J14" i="9"/>
  <c r="Z15" i="9"/>
  <c r="W11" i="9"/>
  <c r="AA15" i="9"/>
  <c r="T12" i="9"/>
  <c r="C13" i="9"/>
  <c r="AT12" i="9"/>
  <c r="AU9" i="9"/>
  <c r="AU12" i="9"/>
  <c r="AT9" i="9"/>
  <c r="AR15" i="9"/>
  <c r="Q10" i="9"/>
  <c r="M15" i="9"/>
  <c r="AK11" i="9"/>
  <c r="Y11" i="9"/>
  <c r="N12" i="5"/>
  <c r="V10" i="5"/>
  <c r="AB12" i="5"/>
  <c r="I10" i="5"/>
  <c r="Y10" i="9"/>
  <c r="AP14" i="9"/>
  <c r="AY10" i="9"/>
  <c r="AQ15" i="9"/>
  <c r="AS10" i="9"/>
  <c r="D14" i="9"/>
  <c r="AE14" i="5"/>
  <c r="V13" i="5"/>
  <c r="M12" i="5"/>
  <c r="D11" i="5"/>
  <c r="AB10" i="5"/>
  <c r="S9" i="5"/>
  <c r="I15" i="5"/>
  <c r="V14" i="5"/>
  <c r="AB9" i="5"/>
  <c r="R15" i="5"/>
  <c r="I14" i="5"/>
  <c r="AA11" i="5"/>
  <c r="Z14" i="5"/>
  <c r="Q13" i="5"/>
  <c r="H12" i="5"/>
  <c r="Q9" i="5"/>
  <c r="Z13" i="5"/>
  <c r="Q12" i="5"/>
  <c r="H11" i="5"/>
  <c r="AF10" i="5"/>
  <c r="W9" i="5"/>
  <c r="M15" i="5"/>
  <c r="D14" i="5"/>
  <c r="AF9" i="5"/>
  <c r="V15" i="5"/>
  <c r="M14" i="5"/>
  <c r="D13" i="5"/>
  <c r="U10" i="9"/>
  <c r="U14" i="9"/>
  <c r="AQ14" i="9"/>
  <c r="AY13" i="9"/>
  <c r="I12" i="9"/>
  <c r="AU10" i="9"/>
  <c r="AX11" i="9"/>
  <c r="B15" i="9"/>
  <c r="AI13" i="9"/>
  <c r="AK14" i="9"/>
  <c r="AP13" i="9"/>
  <c r="J13" i="9"/>
  <c r="B12" i="9"/>
  <c r="K13" i="9"/>
  <c r="AP9" i="9"/>
  <c r="AD14" i="9"/>
  <c r="X11" i="9"/>
  <c r="E12" i="9"/>
  <c r="AN11" i="9"/>
  <c r="B10" i="9"/>
  <c r="AO9" i="9"/>
  <c r="AQ13" i="9"/>
  <c r="N13" i="9"/>
  <c r="W14" i="9"/>
  <c r="AS15" i="9"/>
  <c r="AW15" i="9"/>
  <c r="V14" i="9"/>
  <c r="X15" i="9"/>
  <c r="Z9" i="9"/>
  <c r="M14" i="9"/>
  <c r="AO10" i="9"/>
  <c r="K12" i="9"/>
  <c r="B14" i="9"/>
  <c r="D12" i="9"/>
  <c r="AU13" i="9"/>
  <c r="M11" i="9"/>
  <c r="R10" i="9"/>
  <c r="Z13" i="9"/>
  <c r="T14" i="9"/>
  <c r="V13" i="9"/>
  <c r="AX14" i="9"/>
  <c r="W12" i="9"/>
  <c r="AL12" i="9"/>
  <c r="P9" i="9"/>
  <c r="AE11" i="5"/>
  <c r="AA12" i="5"/>
  <c r="AX12" i="9"/>
  <c r="AI10" i="9"/>
  <c r="R13" i="9"/>
  <c r="AQ9" i="9"/>
  <c r="C9" i="9"/>
  <c r="AD13" i="5"/>
  <c r="U12" i="5"/>
  <c r="L11" i="5"/>
  <c r="C10" i="5"/>
  <c r="AA9" i="5"/>
  <c r="Q15" i="5"/>
  <c r="H14" i="5"/>
  <c r="S11" i="5"/>
  <c r="Z15" i="5"/>
  <c r="Q14" i="5"/>
  <c r="H13" i="5"/>
  <c r="O15" i="5"/>
  <c r="Y13" i="5"/>
  <c r="P12" i="5"/>
  <c r="G11" i="5"/>
  <c r="J10" i="5"/>
  <c r="Y12" i="5"/>
  <c r="P11" i="5"/>
  <c r="G10" i="5"/>
  <c r="AE9" i="5"/>
  <c r="U15" i="5"/>
  <c r="L14" i="5"/>
  <c r="C13" i="5"/>
  <c r="AD15" i="5"/>
  <c r="U14" i="5"/>
  <c r="L13" i="5"/>
  <c r="C12" i="5"/>
  <c r="V12" i="9"/>
  <c r="AK13" i="9"/>
  <c r="AW13" i="9"/>
  <c r="F15" i="9"/>
  <c r="V9" i="9"/>
  <c r="AB11" i="9"/>
  <c r="AG9" i="9"/>
  <c r="D10" i="9"/>
  <c r="AZ14" i="9"/>
  <c r="Y12" i="9"/>
  <c r="AT15" i="9"/>
  <c r="AM10" i="9"/>
  <c r="C11" i="9"/>
  <c r="O15" i="9"/>
  <c r="P11" i="9"/>
  <c r="AX10" i="9"/>
  <c r="AB13" i="9"/>
  <c r="N15" i="9"/>
  <c r="H15" i="9"/>
  <c r="AB12" i="9"/>
  <c r="AG11" i="9"/>
  <c r="AI11" i="9"/>
  <c r="AO12" i="9"/>
  <c r="AO14" i="9"/>
  <c r="O13" i="9"/>
  <c r="AR10" i="9"/>
  <c r="AC12" i="9"/>
  <c r="U12" i="9"/>
  <c r="V11" i="9"/>
  <c r="C12" i="9"/>
  <c r="AH12" i="9"/>
  <c r="AJ12" i="9"/>
  <c r="AC15" i="9"/>
  <c r="R11" i="9"/>
  <c r="I10" i="9"/>
  <c r="Y15" i="9"/>
  <c r="AG13" i="9"/>
  <c r="D13" i="9"/>
  <c r="AK10" i="9"/>
  <c r="AH11" i="9"/>
  <c r="AW10" i="9"/>
  <c r="L12" i="9"/>
  <c r="AY15" i="9"/>
  <c r="AF9" i="9"/>
  <c r="AN14" i="9"/>
  <c r="AR13" i="9"/>
  <c r="AK12" i="9"/>
  <c r="E11" i="5"/>
  <c r="AE10" i="5"/>
  <c r="Y9" i="5"/>
  <c r="X10" i="9"/>
  <c r="P13" i="9"/>
  <c r="AD13" i="9"/>
  <c r="U13" i="9"/>
  <c r="AN10" i="9"/>
  <c r="AL15" i="9"/>
  <c r="AM9" i="9"/>
  <c r="Z14" i="9"/>
  <c r="AC12" i="5"/>
  <c r="T11" i="5"/>
  <c r="K10" i="5"/>
  <c r="B9" i="5"/>
  <c r="Y15" i="5"/>
  <c r="P14" i="5"/>
  <c r="G13" i="5"/>
  <c r="L12" i="5"/>
  <c r="Y14" i="5"/>
  <c r="P13" i="5"/>
  <c r="G12" i="5"/>
  <c r="F14" i="5"/>
  <c r="X12" i="5"/>
  <c r="O11" i="5"/>
  <c r="F10" i="5"/>
  <c r="C11" i="5"/>
  <c r="X11" i="5"/>
  <c r="O10" i="5"/>
  <c r="F9" i="5"/>
  <c r="AC15" i="5"/>
  <c r="T14" i="5"/>
  <c r="K13" i="5"/>
  <c r="B12" i="5"/>
  <c r="AC14" i="5"/>
  <c r="T13" i="5"/>
  <c r="K12" i="5"/>
  <c r="B11" i="5"/>
  <c r="AH9" i="9"/>
  <c r="AH15" i="9"/>
  <c r="H11" i="9"/>
  <c r="I15" i="9"/>
  <c r="AW9" i="9"/>
  <c r="O14" i="9"/>
  <c r="AI14" i="9"/>
  <c r="S14" i="9"/>
  <c r="AV10" i="9"/>
  <c r="AE11" i="9"/>
  <c r="AC10" i="9"/>
  <c r="S13" i="9"/>
  <c r="E11" i="9"/>
  <c r="AR14" i="9"/>
  <c r="V10" i="9"/>
  <c r="G10" i="9"/>
  <c r="L9" i="9"/>
  <c r="C14" i="9"/>
  <c r="AS12" i="9"/>
  <c r="M10" i="9"/>
  <c r="C15" i="9"/>
  <c r="AE15" i="9"/>
  <c r="AU11" i="9"/>
  <c r="AJ9" i="9"/>
  <c r="AF14" i="9"/>
  <c r="AI12" i="9"/>
  <c r="AJ13" i="9"/>
  <c r="W9" i="9"/>
  <c r="W10" i="9"/>
  <c r="AS13" i="9"/>
  <c r="AN13" i="9"/>
  <c r="I13" i="9"/>
  <c r="Y9" i="9"/>
  <c r="U11" i="9"/>
  <c r="L10" i="9"/>
  <c r="AW14" i="9"/>
  <c r="AR11" i="9"/>
  <c r="AL11" i="9"/>
  <c r="AH10" i="9"/>
  <c r="W12" i="5"/>
  <c r="C15" i="5"/>
  <c r="I11" i="5"/>
  <c r="H13" i="9"/>
  <c r="P10" i="9"/>
  <c r="L11" i="9"/>
  <c r="H9" i="9"/>
  <c r="AM11" i="9"/>
  <c r="AP10" i="9"/>
  <c r="AK9" i="9"/>
  <c r="AB11" i="5"/>
  <c r="S10" i="5"/>
  <c r="J9" i="5"/>
  <c r="E13" i="5"/>
  <c r="X14" i="5"/>
  <c r="O13" i="5"/>
  <c r="F12" i="5"/>
  <c r="D12" i="5"/>
  <c r="X13" i="5"/>
  <c r="O12" i="5"/>
  <c r="F11" i="5"/>
  <c r="AF12" i="5"/>
  <c r="W11" i="5"/>
  <c r="N10" i="5"/>
  <c r="E9" i="5"/>
  <c r="AF11" i="5"/>
  <c r="W10" i="5"/>
  <c r="N9" i="5"/>
  <c r="B13" i="5"/>
  <c r="AB14" i="5"/>
  <c r="S13" i="5"/>
  <c r="J12" i="5"/>
  <c r="AD14" i="5"/>
  <c r="AB13" i="5"/>
  <c r="S12" i="5"/>
  <c r="J11" i="5"/>
  <c r="AE15" i="5"/>
  <c r="AL9" i="9"/>
  <c r="AJ10" i="9"/>
  <c r="L13" i="9"/>
  <c r="N10" i="9"/>
  <c r="AV11" i="9"/>
  <c r="O9" i="9"/>
  <c r="S9" i="9"/>
  <c r="X9" i="9"/>
  <c r="O12" i="9"/>
  <c r="H10" i="9"/>
  <c r="I9" i="9"/>
  <c r="AY9" i="9"/>
  <c r="AA10" i="9"/>
  <c r="AJ15" i="9"/>
  <c r="AE14" i="9"/>
  <c r="M9" i="9"/>
  <c r="V15" i="9"/>
  <c r="Q9" i="9"/>
  <c r="B13" i="9"/>
  <c r="AS9" i="9"/>
  <c r="AF10" i="9"/>
  <c r="E15" i="9"/>
  <c r="F9" i="9"/>
  <c r="AV9" i="9"/>
  <c r="K15" i="9"/>
  <c r="AQ11" i="9"/>
  <c r="AM13" i="9"/>
  <c r="M13" i="9"/>
  <c r="AC9" i="9"/>
  <c r="N12" i="9"/>
  <c r="AN15" i="9"/>
  <c r="C10" i="9"/>
  <c r="AJ11" i="9"/>
  <c r="Y13" i="9"/>
  <c r="P12" i="9"/>
  <c r="AE12" i="9"/>
  <c r="AA13" i="9"/>
  <c r="R12" i="9"/>
  <c r="AE9" i="9"/>
  <c r="AO13" i="9"/>
  <c r="P15" i="9"/>
  <c r="K14" i="9"/>
  <c r="Q11" i="9"/>
  <c r="M12" i="9"/>
  <c r="AE13" i="9"/>
  <c r="AA10" i="5"/>
  <c r="H15" i="5"/>
  <c r="AF14" i="5"/>
  <c r="W13" i="5"/>
  <c r="N11" i="5"/>
  <c r="V9" i="5"/>
  <c r="R12" i="5"/>
  <c r="W15" i="5"/>
  <c r="T9" i="9"/>
  <c r="I14" i="9"/>
  <c r="AS14" i="9"/>
  <c r="B9" i="9"/>
  <c r="AL14" i="9"/>
  <c r="AB15" i="9"/>
  <c r="AN16" i="9" l="1"/>
  <c r="N16" i="9"/>
  <c r="AA16" i="9"/>
  <c r="X16" i="9"/>
  <c r="AK16" i="9"/>
  <c r="K16" i="9"/>
  <c r="U16" i="9"/>
  <c r="AT16" i="9"/>
  <c r="H16" i="9"/>
  <c r="E16" i="9"/>
  <c r="AD16" i="9"/>
  <c r="AQ16" i="9"/>
  <c r="L16" i="9"/>
  <c r="AB16" i="9"/>
  <c r="AR16" i="9"/>
  <c r="I16" i="9"/>
  <c r="Y16" i="9"/>
  <c r="AO16" i="9"/>
  <c r="J16" i="9"/>
  <c r="Z16" i="9"/>
  <c r="AP16" i="9"/>
  <c r="G16" i="9"/>
  <c r="W16" i="9"/>
  <c r="AM16" i="9"/>
  <c r="AL16" i="9"/>
  <c r="AI16" i="9"/>
  <c r="D16" i="9"/>
  <c r="T16" i="9"/>
  <c r="AJ16" i="9"/>
  <c r="AZ16" i="9"/>
  <c r="Q16" i="9"/>
  <c r="AG16" i="9"/>
  <c r="AW16" i="9"/>
  <c r="F16" i="9"/>
  <c r="C16" i="9"/>
  <c r="AY16" i="9"/>
  <c r="B16" i="9"/>
  <c r="R16" i="9"/>
  <c r="AH16" i="9"/>
  <c r="AX16" i="9"/>
  <c r="O16" i="9"/>
  <c r="AE16" i="9"/>
  <c r="AU16" i="9"/>
  <c r="V16" i="9"/>
  <c r="S16" i="9"/>
  <c r="P16" i="9"/>
  <c r="AF16" i="9"/>
  <c r="AV16" i="9"/>
  <c r="M16" i="9"/>
  <c r="AC16" i="9"/>
  <c r="AS16" i="9"/>
</calcChain>
</file>

<file path=xl/sharedStrings.xml><?xml version="1.0" encoding="utf-8"?>
<sst xmlns="http://schemas.openxmlformats.org/spreadsheetml/2006/main" count="853" uniqueCount="503">
  <si>
    <t>State</t>
  </si>
  <si>
    <t>Alabama</t>
  </si>
  <si>
    <t>Alaska</t>
  </si>
  <si>
    <t>Arizona</t>
  </si>
  <si>
    <t>Arkansas</t>
  </si>
  <si>
    <t>California</t>
  </si>
  <si>
    <t>Colorado</t>
  </si>
  <si>
    <t>Connecticut</t>
  </si>
  <si>
    <t>Delaware</t>
  </si>
  <si>
    <t>Dist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</si>
  <si>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</si>
  <si>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</si>
  <si>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</si>
  <si>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</si>
  <si>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</si>
  <si>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</si>
  <si>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</si>
  <si>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</si>
  <si>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</si>
  <si>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</si>
  <si>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</si>
  <si>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</si>
  <si>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</si>
  <si>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</si>
  <si>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</si>
  <si>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</si>
  <si>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</si>
  <si>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</si>
  <si>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</si>
  <si>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</si>
  <si>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</si>
  <si>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</si>
  <si>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</si>
  <si>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</si>
  <si>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</si>
  <si>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</si>
  <si>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</si>
  <si>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</si>
  <si>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</si>
  <si>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</si>
  <si>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</si>
  <si>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</si>
  <si>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</si>
  <si>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</si>
  <si>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</si>
  <si>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</si>
  <si>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</si>
  <si>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</si>
  <si>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</si>
  <si>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</si>
  <si>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</si>
  <si>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</si>
  <si>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</si>
  <si>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</si>
  <si>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</si>
  <si>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</si>
  <si>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</si>
  <si>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</si>
  <si>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</si>
  <si>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</si>
  <si>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</si>
  <si>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</si>
  <si>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</si>
  <si>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</si>
  <si>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DGDCBD82B</t>
  </si>
  <si>
    <t>Format Range</t>
  </si>
  <si>
    <t>Variable Layout</t>
  </si>
  <si>
    <t>Columns</t>
  </si>
  <si>
    <t>Variable Names In Cells</t>
  </si>
  <si>
    <t>Variable Names In 2nd Cells</t>
  </si>
  <si>
    <t>Data Set Ranges</t>
  </si>
  <si>
    <t>Data Sheet Format</t>
  </si>
  <si>
    <t>Formula Eval Cell</t>
  </si>
  <si>
    <t>Num Stored Vars</t>
  </si>
  <si>
    <t>1 : Info</t>
  </si>
  <si>
    <t>var1</t>
  </si>
  <si>
    <t>ST_State</t>
  </si>
  <si>
    <t>1 : Ranges</t>
  </si>
  <si>
    <t>1 : MultiRefs</t>
  </si>
  <si>
    <t>2 : Info</t>
  </si>
  <si>
    <t>var2</t>
  </si>
  <si>
    <t>ST_1984</t>
  </si>
  <si>
    <t>2 : Ranges</t>
  </si>
  <si>
    <t>2 : MultiRefs</t>
  </si>
  <si>
    <t>3 : Info</t>
  </si>
  <si>
    <t>var3</t>
  </si>
  <si>
    <t>ST_1985</t>
  </si>
  <si>
    <t>3 : Ranges</t>
  </si>
  <si>
    <t>3 : MultiRefs</t>
  </si>
  <si>
    <t>4 : Info</t>
  </si>
  <si>
    <t>var4</t>
  </si>
  <si>
    <t>ST_1986</t>
  </si>
  <si>
    <t>4 : Ranges</t>
  </si>
  <si>
    <t>4 : MultiRefs</t>
  </si>
  <si>
    <t>5 : Info</t>
  </si>
  <si>
    <t>var5</t>
  </si>
  <si>
    <t>ST_1987</t>
  </si>
  <si>
    <t>5 : Ranges</t>
  </si>
  <si>
    <t>5 : MultiRefs</t>
  </si>
  <si>
    <t>6 : Info</t>
  </si>
  <si>
    <t>var6</t>
  </si>
  <si>
    <t>ST_1988</t>
  </si>
  <si>
    <t>6 : Ranges</t>
  </si>
  <si>
    <t>6 : MultiRefs</t>
  </si>
  <si>
    <t>7 : Info</t>
  </si>
  <si>
    <t>var7</t>
  </si>
  <si>
    <t>ST_1989</t>
  </si>
  <si>
    <t>7 : Ranges</t>
  </si>
  <si>
    <t>7 : MultiRefs</t>
  </si>
  <si>
    <t>8 : Info</t>
  </si>
  <si>
    <t>var8</t>
  </si>
  <si>
    <t>ST_1990</t>
  </si>
  <si>
    <t>8 : Ranges</t>
  </si>
  <si>
    <t>8 : MultiRefs</t>
  </si>
  <si>
    <t>9 : Info</t>
  </si>
  <si>
    <t>var9</t>
  </si>
  <si>
    <t>ST_1991</t>
  </si>
  <si>
    <t>9 : Ranges</t>
  </si>
  <si>
    <t>9 : MultiRefs</t>
  </si>
  <si>
    <t>10 : Info</t>
  </si>
  <si>
    <t>var10</t>
  </si>
  <si>
    <t>ST_1992</t>
  </si>
  <si>
    <t>10 : Ranges</t>
  </si>
  <si>
    <t>10 : MultiRefs</t>
  </si>
  <si>
    <t>11 : Info</t>
  </si>
  <si>
    <t>var11</t>
  </si>
  <si>
    <t>ST_1993</t>
  </si>
  <si>
    <t>11 : Ranges</t>
  </si>
  <si>
    <t>11 : MultiRefs</t>
  </si>
  <si>
    <t>12 : Info</t>
  </si>
  <si>
    <t>var12</t>
  </si>
  <si>
    <t>ST_1994</t>
  </si>
  <si>
    <t>12 : Ranges</t>
  </si>
  <si>
    <t>12 : MultiRefs</t>
  </si>
  <si>
    <t>13 : Info</t>
  </si>
  <si>
    <t>var13</t>
  </si>
  <si>
    <t>ST_1995</t>
  </si>
  <si>
    <t>13 : Ranges</t>
  </si>
  <si>
    <t>13 : MultiRefs</t>
  </si>
  <si>
    <t>14 : Info</t>
  </si>
  <si>
    <t>var14</t>
  </si>
  <si>
    <t>ST_1996</t>
  </si>
  <si>
    <t>14 : Ranges</t>
  </si>
  <si>
    <t>14 : MultiRefs</t>
  </si>
  <si>
    <t>15 : Info</t>
  </si>
  <si>
    <t>var15</t>
  </si>
  <si>
    <t>ST_1997</t>
  </si>
  <si>
    <t>15 : Ranges</t>
  </si>
  <si>
    <t>15 : MultiRefs</t>
  </si>
  <si>
    <t>16 : Info</t>
  </si>
  <si>
    <t>var16</t>
  </si>
  <si>
    <t>ST_1998</t>
  </si>
  <si>
    <t>16 : Ranges</t>
  </si>
  <si>
    <t>16 : MultiRefs</t>
  </si>
  <si>
    <t>17 : Info</t>
  </si>
  <si>
    <t>var17</t>
  </si>
  <si>
    <t>ST_1999</t>
  </si>
  <si>
    <t>17 : Ranges</t>
  </si>
  <si>
    <t>17 : MultiRefs</t>
  </si>
  <si>
    <t>18 : Info</t>
  </si>
  <si>
    <t>var18</t>
  </si>
  <si>
    <t>ST_2000</t>
  </si>
  <si>
    <t>18 : Ranges</t>
  </si>
  <si>
    <t>18 : MultiRefs</t>
  </si>
  <si>
    <t>19 : Info</t>
  </si>
  <si>
    <t>var19</t>
  </si>
  <si>
    <t>ST_2001</t>
  </si>
  <si>
    <t>19 : Ranges</t>
  </si>
  <si>
    <t>19 : MultiRefs</t>
  </si>
  <si>
    <t>20 : Info</t>
  </si>
  <si>
    <t>var20</t>
  </si>
  <si>
    <t>ST_2002</t>
  </si>
  <si>
    <t>20 : Ranges</t>
  </si>
  <si>
    <t>20 : MultiRefs</t>
  </si>
  <si>
    <t>21 : Info</t>
  </si>
  <si>
    <t>var21</t>
  </si>
  <si>
    <t>ST_2003</t>
  </si>
  <si>
    <t>21 : Ranges</t>
  </si>
  <si>
    <t>21 : MultiRefs</t>
  </si>
  <si>
    <t>22 : Info</t>
  </si>
  <si>
    <t>var22</t>
  </si>
  <si>
    <t>ST_2004</t>
  </si>
  <si>
    <t>22 : Ranges</t>
  </si>
  <si>
    <t>22 : MultiRefs</t>
  </si>
  <si>
    <t>23 : Info</t>
  </si>
  <si>
    <t>var23</t>
  </si>
  <si>
    <t>ST_2005</t>
  </si>
  <si>
    <t>23 : Ranges</t>
  </si>
  <si>
    <t>23 : MultiRefs</t>
  </si>
  <si>
    <t>24 : Info</t>
  </si>
  <si>
    <t>var24</t>
  </si>
  <si>
    <t>ST_2006</t>
  </si>
  <si>
    <t>24 : Ranges</t>
  </si>
  <si>
    <t>24 : MultiRefs</t>
  </si>
  <si>
    <t>25 : Info</t>
  </si>
  <si>
    <t>var25</t>
  </si>
  <si>
    <t>ST_2007</t>
  </si>
  <si>
    <t>25 : Ranges</t>
  </si>
  <si>
    <t>25 : MultiRefs</t>
  </si>
  <si>
    <t>26 : Info</t>
  </si>
  <si>
    <t>var26</t>
  </si>
  <si>
    <t>ST_2008</t>
  </si>
  <si>
    <t>26 : Ranges</t>
  </si>
  <si>
    <t>26 : MultiRefs</t>
  </si>
  <si>
    <t>StatTools</t>
  </si>
  <si>
    <t>(Core Analysis Pack)</t>
  </si>
  <si>
    <t>Analysis:</t>
  </si>
  <si>
    <t>One Variable Summary</t>
  </si>
  <si>
    <t>Performed By:</t>
  </si>
  <si>
    <t xml:space="preserve"> Chris Albright</t>
  </si>
  <si>
    <t>Date:</t>
  </si>
  <si>
    <t>Updating:</t>
  </si>
  <si>
    <t>Live</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</si>
  <si>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</si>
  <si>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</si>
  <si>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</si>
  <si>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</si>
  <si>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</si>
  <si>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</si>
  <si>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</si>
  <si>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</si>
  <si>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</si>
  <si>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</si>
  <si>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</si>
  <si>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</si>
  <si>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</si>
  <si>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</si>
  <si>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</si>
  <si>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</si>
  <si>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</si>
  <si>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</si>
  <si>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</si>
  <si>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</si>
  <si>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</si>
  <si>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</si>
  <si>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</si>
  <si>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</si>
  <si>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</si>
  <si>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Mean</t>
  </si>
  <si>
    <t>Std. Dev.</t>
  </si>
  <si>
    <t>Median</t>
  </si>
  <si>
    <t>Minimum</t>
  </si>
  <si>
    <t>Maximum</t>
  </si>
  <si>
    <t>1st Quartile</t>
  </si>
  <si>
    <t>3rd Quartile</t>
  </si>
  <si>
    <t>Year</t>
  </si>
  <si>
    <t>Data Set #2</t>
  </si>
  <si>
    <t>DG1DDCA125</t>
  </si>
  <si>
    <t>Rows</t>
  </si>
  <si>
    <t>ST_Year</t>
  </si>
  <si>
    <t>ST_Alabama</t>
  </si>
  <si>
    <t>ST_Alaska</t>
  </si>
  <si>
    <t>ST_Arizona</t>
  </si>
  <si>
    <t>ST_Arkansas</t>
  </si>
  <si>
    <t>ST_California</t>
  </si>
  <si>
    <t>ST_Colorado</t>
  </si>
  <si>
    <t>ST_Connecticut</t>
  </si>
  <si>
    <t>ST_Delaware</t>
  </si>
  <si>
    <t>ST_DistofColumbia</t>
  </si>
  <si>
    <t>ST_Florida</t>
  </si>
  <si>
    <t>ST_Georgia</t>
  </si>
  <si>
    <t>ST_Hawaii</t>
  </si>
  <si>
    <t>ST_Idaho</t>
  </si>
  <si>
    <t>ST_Illinois</t>
  </si>
  <si>
    <t>ST_Indiana</t>
  </si>
  <si>
    <t>ST_Iowa</t>
  </si>
  <si>
    <t>ST_Kansas</t>
  </si>
  <si>
    <t>ST_Kentucky</t>
  </si>
  <si>
    <t>ST_Louisiana</t>
  </si>
  <si>
    <t>ST_Maine</t>
  </si>
  <si>
    <t>ST_Maryland</t>
  </si>
  <si>
    <t>ST_Massachusetts</t>
  </si>
  <si>
    <t>ST_Michigan</t>
  </si>
  <si>
    <t>ST_Minnesota</t>
  </si>
  <si>
    <t>ST_Mississippi</t>
  </si>
  <si>
    <t>27 : Info</t>
  </si>
  <si>
    <t>var27</t>
  </si>
  <si>
    <t>ST_Missouri</t>
  </si>
  <si>
    <t>27 : Ranges</t>
  </si>
  <si>
    <t>27 : MultiRefs</t>
  </si>
  <si>
    <t>28 : Info</t>
  </si>
  <si>
    <t>var28</t>
  </si>
  <si>
    <t>ST_Montana</t>
  </si>
  <si>
    <t>28 : Ranges</t>
  </si>
  <si>
    <t>28 : MultiRefs</t>
  </si>
  <si>
    <t>29 : Info</t>
  </si>
  <si>
    <t>var29</t>
  </si>
  <si>
    <t>ST_Nebraska</t>
  </si>
  <si>
    <t>29 : Ranges</t>
  </si>
  <si>
    <t>29 : MultiRefs</t>
  </si>
  <si>
    <t>30 : Info</t>
  </si>
  <si>
    <t>var30</t>
  </si>
  <si>
    <t>ST_Nevada</t>
  </si>
  <si>
    <t>30 : Ranges</t>
  </si>
  <si>
    <t>30 : MultiRefs</t>
  </si>
  <si>
    <t>31 : Info</t>
  </si>
  <si>
    <t>var31</t>
  </si>
  <si>
    <t>ST_NewHampshire</t>
  </si>
  <si>
    <t>31 : Ranges</t>
  </si>
  <si>
    <t>31 : MultiRefs</t>
  </si>
  <si>
    <t>32 : Info</t>
  </si>
  <si>
    <t>var32</t>
  </si>
  <si>
    <t>ST_NewJersey</t>
  </si>
  <si>
    <t>32 : Ranges</t>
  </si>
  <si>
    <t>32 : MultiRefs</t>
  </si>
  <si>
    <t>33 : Info</t>
  </si>
  <si>
    <t>var33</t>
  </si>
  <si>
    <t>ST_NewMexico</t>
  </si>
  <si>
    <t>33 : Ranges</t>
  </si>
  <si>
    <t>33 : MultiRefs</t>
  </si>
  <si>
    <t>34 : Info</t>
  </si>
  <si>
    <t>var34</t>
  </si>
  <si>
    <t>ST_NewYork</t>
  </si>
  <si>
    <t>34 : Ranges</t>
  </si>
  <si>
    <t>34 : MultiRefs</t>
  </si>
  <si>
    <t>35 : Info</t>
  </si>
  <si>
    <t>var35</t>
  </si>
  <si>
    <t>ST_NorthCarolina</t>
  </si>
  <si>
    <t>35 : Ranges</t>
  </si>
  <si>
    <t>35 : MultiRefs</t>
  </si>
  <si>
    <t>36 : Info</t>
  </si>
  <si>
    <t>var36</t>
  </si>
  <si>
    <t>ST_NorthDakota</t>
  </si>
  <si>
    <t>36 : Ranges</t>
  </si>
  <si>
    <t>36 : MultiRefs</t>
  </si>
  <si>
    <t>37 : Info</t>
  </si>
  <si>
    <t>var37</t>
  </si>
  <si>
    <t>ST_Ohio</t>
  </si>
  <si>
    <t>37 : Ranges</t>
  </si>
  <si>
    <t>37 : MultiRefs</t>
  </si>
  <si>
    <t>38 : Info</t>
  </si>
  <si>
    <t>var38</t>
  </si>
  <si>
    <t>ST_Oklahoma</t>
  </si>
  <si>
    <t>38 : Ranges</t>
  </si>
  <si>
    <t>38 : MultiRefs</t>
  </si>
  <si>
    <t>39 : Info</t>
  </si>
  <si>
    <t>var39</t>
  </si>
  <si>
    <t>ST_Oregon</t>
  </si>
  <si>
    <t>39 : Ranges</t>
  </si>
  <si>
    <t>39 : MultiRefs</t>
  </si>
  <si>
    <t>40 : Info</t>
  </si>
  <si>
    <t>var40</t>
  </si>
  <si>
    <t>ST_Pennsylvania</t>
  </si>
  <si>
    <t>40 : Ranges</t>
  </si>
  <si>
    <t>40 : MultiRefs</t>
  </si>
  <si>
    <t>41 : Info</t>
  </si>
  <si>
    <t>var41</t>
  </si>
  <si>
    <t>ST_RhodeIsland</t>
  </si>
  <si>
    <t>41 : Ranges</t>
  </si>
  <si>
    <t>41 : MultiRefs</t>
  </si>
  <si>
    <t>42 : Info</t>
  </si>
  <si>
    <t>var42</t>
  </si>
  <si>
    <t>ST_SouthCarolina</t>
  </si>
  <si>
    <t>42 : Ranges</t>
  </si>
  <si>
    <t>42 : MultiRefs</t>
  </si>
  <si>
    <t>43 : Info</t>
  </si>
  <si>
    <t>var43</t>
  </si>
  <si>
    <t>ST_SouthDakota</t>
  </si>
  <si>
    <t>43 : Ranges</t>
  </si>
  <si>
    <t>43 : MultiRefs</t>
  </si>
  <si>
    <t>44 : Info</t>
  </si>
  <si>
    <t>var44</t>
  </si>
  <si>
    <t>ST_Tennessee</t>
  </si>
  <si>
    <t>44 : Ranges</t>
  </si>
  <si>
    <t>44 : MultiRefs</t>
  </si>
  <si>
    <t>45 : Info</t>
  </si>
  <si>
    <t>var45</t>
  </si>
  <si>
    <t>ST_Texas</t>
  </si>
  <si>
    <t>45 : Ranges</t>
  </si>
  <si>
    <t>45 : MultiRefs</t>
  </si>
  <si>
    <t>46 : Info</t>
  </si>
  <si>
    <t>var46</t>
  </si>
  <si>
    <t>ST_Utah</t>
  </si>
  <si>
    <t>46 : Ranges</t>
  </si>
  <si>
    <t>46 : MultiRefs</t>
  </si>
  <si>
    <t>47 : Info</t>
  </si>
  <si>
    <t>var47</t>
  </si>
  <si>
    <t>ST_Vermont</t>
  </si>
  <si>
    <t>47 : Ranges</t>
  </si>
  <si>
    <t>47 : MultiRefs</t>
  </si>
  <si>
    <t>48 : Info</t>
  </si>
  <si>
    <t>var48</t>
  </si>
  <si>
    <t>ST_Virginia</t>
  </si>
  <si>
    <t>48 : Ranges</t>
  </si>
  <si>
    <t>48 : MultiRefs</t>
  </si>
  <si>
    <t>49 : Info</t>
  </si>
  <si>
    <t>var49</t>
  </si>
  <si>
    <t>ST_Washington</t>
  </si>
  <si>
    <t>49 : Ranges</t>
  </si>
  <si>
    <t>49 : MultiRefs</t>
  </si>
  <si>
    <t>50 : Info</t>
  </si>
  <si>
    <t>var50</t>
  </si>
  <si>
    <t>ST_WestVirginia</t>
  </si>
  <si>
    <t>50 : Ranges</t>
  </si>
  <si>
    <t>50 : MultiRefs</t>
  </si>
  <si>
    <t>51 : Info</t>
  </si>
  <si>
    <t>var51</t>
  </si>
  <si>
    <t>ST_Wisconsin</t>
  </si>
  <si>
    <t>51 : Ranges</t>
  </si>
  <si>
    <t>51 : MultiRefs</t>
  </si>
  <si>
    <t>52 : Info</t>
  </si>
  <si>
    <t>var52</t>
  </si>
  <si>
    <t>ST_Wyoming</t>
  </si>
  <si>
    <t>52 : Ranges</t>
  </si>
  <si>
    <t>52 : MultiRefs</t>
  </si>
  <si>
    <t>Range</t>
  </si>
  <si>
    <t>Friday, February 10, 2012</t>
  </si>
  <si>
    <t>VG19B4FA6878133F6</t>
  </si>
  <si>
    <t>VG2F0B668E4F2C493</t>
  </si>
  <si>
    <t>VG26BDE3FC23BD3F20</t>
  </si>
  <si>
    <t>VG1E97787A1F119C7</t>
  </si>
  <si>
    <t>VG6F3C96163F6252</t>
  </si>
  <si>
    <t>VG30F7926435C3D16C</t>
  </si>
  <si>
    <t>VG2CFF40A030375BF7</t>
  </si>
  <si>
    <t>VG4E74828193544CB</t>
  </si>
  <si>
    <t>VG1F3889271A70C9B4</t>
  </si>
  <si>
    <t>VG3366A6F1117612DD</t>
  </si>
  <si>
    <t>VG2D983BAC9E9A9F7</t>
  </si>
  <si>
    <t>VG1F2893353510975A</t>
  </si>
  <si>
    <t>VGAA7939119AAFEA0</t>
  </si>
  <si>
    <t>VG7BF549F24E6603</t>
  </si>
  <si>
    <t>VG23D4A1E65B892AE</t>
  </si>
  <si>
    <t>VG1AB45462F38E5E8</t>
  </si>
  <si>
    <t>VG3E900AB2C32DB6E</t>
  </si>
  <si>
    <t>VG2791C0411B50D0C7</t>
  </si>
  <si>
    <t>VG94F1472094D813</t>
  </si>
  <si>
    <t>VG1E75CFE11381EB43</t>
  </si>
  <si>
    <t>VG32603E694D88120</t>
  </si>
  <si>
    <t>VGAFA38A73165CF18</t>
  </si>
  <si>
    <t>VG15687BEE23CDE7A7</t>
  </si>
  <si>
    <t>VG54DD4474DB2508</t>
  </si>
  <si>
    <t>VG27C9D81528F590B9</t>
  </si>
  <si>
    <t>VGBFC74B936652A1</t>
  </si>
  <si>
    <t>VG28ED819C13E5AA08</t>
  </si>
  <si>
    <t>ST_2009</t>
  </si>
  <si>
    <t>VG30B955CA3134629D</t>
  </si>
  <si>
    <t>ST_2010</t>
  </si>
  <si>
    <t>VG148003063075D51A</t>
  </si>
  <si>
    <t>ST_2011</t>
  </si>
  <si>
    <t>VG164E780C23DED300</t>
  </si>
  <si>
    <t>ST_2012</t>
  </si>
  <si>
    <t>VG3B5381AA3715710C</t>
  </si>
  <si>
    <t>ST_2013</t>
  </si>
  <si>
    <t>VG2839FEAA2178A8A8</t>
  </si>
  <si>
    <t>ST_2014</t>
  </si>
  <si>
    <t>2009</t>
  </si>
  <si>
    <t>2010</t>
  </si>
  <si>
    <t>2011</t>
  </si>
  <si>
    <t>2012</t>
  </si>
  <si>
    <t>2013</t>
  </si>
  <si>
    <t>2014</t>
  </si>
  <si>
    <t>VG199299A433D431C3</t>
  </si>
  <si>
    <t>VG28BA4D3F294AB7BA</t>
  </si>
  <si>
    <t>VG4A2254D1659E76E</t>
  </si>
  <si>
    <t>VG3AB5EA2B2AFB86B5</t>
  </si>
  <si>
    <t>VGF8702DCEC74BCA</t>
  </si>
  <si>
    <t>VG2F0AA4210A13FCC</t>
  </si>
  <si>
    <t>VG36F11C6524B894B5</t>
  </si>
  <si>
    <t>VG133530464F4C1C6</t>
  </si>
  <si>
    <t>VG1D9B8BC9298EBE4B</t>
  </si>
  <si>
    <t>VGB17986332E40149</t>
  </si>
  <si>
    <t>VG49581E32FD94655</t>
  </si>
  <si>
    <t>VG3B0661292B0EE6EE</t>
  </si>
  <si>
    <t>VG4BDDD84316F545E</t>
  </si>
  <si>
    <t>VG1C685A351B291250</t>
  </si>
  <si>
    <t>VGFC7F0A42A2ECF17</t>
  </si>
  <si>
    <t>VG30BF8CB932111764</t>
  </si>
  <si>
    <t>VGB8F98C21F68423E</t>
  </si>
  <si>
    <t>VG2C03369930D76E28</t>
  </si>
  <si>
    <t>VG1C39DFDD121ABEB7</t>
  </si>
  <si>
    <t>VG19F6314CDD00D03</t>
  </si>
  <si>
    <t>VG16801BF224A45B05</t>
  </si>
  <si>
    <t>VG101FF02BE09AAD5</t>
  </si>
  <si>
    <t>VG2946777A216CBAD9</t>
  </si>
  <si>
    <t>VG1AAD78652E0D141F</t>
  </si>
  <si>
    <t>VG346DB7CF2E9C64E0</t>
  </si>
  <si>
    <t>VG8F54D43274E6D33</t>
  </si>
  <si>
    <t>VG35695AEC1D5D6282</t>
  </si>
  <si>
    <t>VG32E0B9EE90031E0</t>
  </si>
  <si>
    <t>VG1027A47A2CF07DC8</t>
  </si>
  <si>
    <t>VG2E81606943DB98A</t>
  </si>
  <si>
    <t>VG109C268C1B10A00F</t>
  </si>
  <si>
    <t>VG2AF4B1EA32DAD317</t>
  </si>
  <si>
    <t>VG12122F152A8D68BC</t>
  </si>
  <si>
    <t>VG28D34D4B506CCAB</t>
  </si>
  <si>
    <t>VG2C05C76928F8BBAC</t>
  </si>
  <si>
    <t>VG644FCB417B42F9A</t>
  </si>
  <si>
    <t>VG10AEBD63A1DC377</t>
  </si>
  <si>
    <t>VG2141B23C30086585</t>
  </si>
  <si>
    <t>VG2484A1A87202051</t>
  </si>
  <si>
    <t>VGD62B1B030D95E16</t>
  </si>
  <si>
    <t>VG63F7EA335C724A7</t>
  </si>
  <si>
    <t>VG214C3E243855B33D</t>
  </si>
  <si>
    <t>VG2760E155185FC532</t>
  </si>
  <si>
    <t>VG346952891821E66D</t>
  </si>
  <si>
    <t>VG1EAF902950380A8</t>
  </si>
  <si>
    <t>VG333456FBA5789C5</t>
  </si>
  <si>
    <t>VG11D999C1E7065C1</t>
  </si>
  <si>
    <t>VG77000E6283CDC8C</t>
  </si>
  <si>
    <t>VG12CB09712CFC0ABB</t>
  </si>
  <si>
    <t>VG1A46DEC52BB97EF9</t>
  </si>
  <si>
    <t>VG539535834891A1B</t>
  </si>
  <si>
    <t>VGB8222A225086BBF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</si>
</sst>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_)"/>
    <numFmt numFmtId="167" formatCode="0.000"/>
  </numFmts>
  <fonts count="11" x14ac:knownFonts="1">
    <font>
      <sz val="11"/>
      <color theme="1"/>
      <name val="Calibri"/>
      <family val="2"/>
      <scheme val="minor"/>
    </font>
    <font>
      <sz val="10"/>
      <name val="Arial"/>
      <family val="2"/>
    </font>
    <font>
      <b/>
      <sz val="11"/>
      <name val="Calibri"/>
      <family val="2"/>
    </font>
    <font>
      <sz val="11"/>
      <name val="Calibri"/>
      <family val="2"/>
    </font>
    <font>
      <sz val="11"/>
      <name val="Calibri"/>
      <family val="2"/>
      <scheme val="minor"/>
    </font>
    <font>
      <sz val="11"/>
      <color indexed="8"/>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3">
    <fill>
      <patternFill patternType="none"/>
    </fill>
    <fill>
      <patternFill patternType="gray125"/>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2">
    <xf numFmtId="0" fontId="0" fillId="0" borderId="0"/>
    <xf numFmtId="0" fontId="1" fillId="0" borderId="0"/>
  </cellStyleXfs>
  <cellXfs count="27">
    <xf numFmtId="0" fontId="0" fillId="0" borderId="0" xfId="0"/>
    <xf numFmtId="0" fontId="2" fillId="0" borderId="0" xfId="1" applyFont="1"/>
    <xf numFmtId="0" fontId="3" fillId="0" borderId="0" xfId="1" applyFont="1"/>
    <xf numFmtId="2" fontId="3" fillId="0" borderId="0" xfId="1" applyNumberFormat="1" applyFont="1"/>
    <xf numFmtId="164" fontId="3" fillId="0" borderId="0" xfId="1" applyNumberFormat="1" applyFont="1"/>
    <xf numFmtId="0" fontId="3" fillId="0" borderId="0" xfId="1" applyFont="1" applyAlignment="1"/>
    <xf numFmtId="165" fontId="3" fillId="0" borderId="0" xfId="1" applyNumberFormat="1" applyFont="1"/>
    <xf numFmtId="164" fontId="0" fillId="0" borderId="0" xfId="0" applyNumberFormat="1" applyFont="1"/>
    <xf numFmtId="166" fontId="5" fillId="0" borderId="0" xfId="0" applyNumberFormat="1" applyFont="1" applyProtection="1"/>
    <xf numFmtId="164" fontId="4" fillId="0" borderId="0" xfId="0" applyNumberFormat="1" applyFont="1" applyProtection="1"/>
    <xf numFmtId="0" fontId="2" fillId="0" borderId="0" xfId="1" applyFont="1" applyAlignment="1">
      <alignment horizontal="left"/>
    </xf>
    <xf numFmtId="0" fontId="2" fillId="0" borderId="0" xfId="1" applyFont="1" applyAlignment="1">
      <alignment horizontal="right"/>
    </xf>
    <xf numFmtId="0" fontId="0" fillId="0" borderId="0" xfId="0" applyAlignment="1">
      <alignment horizontal="left"/>
    </xf>
    <xf numFmtId="0" fontId="6" fillId="0" borderId="0" xfId="0" applyFont="1" applyAlignment="1">
      <alignment horizontal="left"/>
    </xf>
    <xf numFmtId="0" fontId="7" fillId="2" borderId="0" xfId="0" applyFont="1" applyFill="1"/>
    <xf numFmtId="0" fontId="7" fillId="2" borderId="1" xfId="0" applyFont="1" applyFill="1" applyBorder="1"/>
    <xf numFmtId="0" fontId="9" fillId="2" borderId="0" xfId="0" applyFont="1" applyFill="1" applyAlignment="1">
      <alignment horizontal="right"/>
    </xf>
    <xf numFmtId="0" fontId="8" fillId="2" borderId="0" xfId="0" applyFont="1" applyFill="1" applyAlignment="1">
      <alignment horizontal="right"/>
    </xf>
    <xf numFmtId="0" fontId="8" fillId="2" borderId="1" xfId="0" applyFont="1" applyFill="1" applyBorder="1" applyAlignment="1">
      <alignment horizontal="right"/>
    </xf>
    <xf numFmtId="0" fontId="7" fillId="2" borderId="0" xfId="0" applyFont="1" applyFill="1" applyAlignment="1">
      <alignment horizontal="left"/>
    </xf>
    <xf numFmtId="0" fontId="7" fillId="2" borderId="1" xfId="0" applyFont="1" applyFill="1" applyBorder="1" applyAlignment="1">
      <alignment horizontal="left"/>
    </xf>
    <xf numFmtId="49" fontId="8" fillId="0" borderId="0" xfId="0" applyNumberFormat="1" applyFont="1" applyAlignment="1">
      <alignment horizontal="left"/>
    </xf>
    <xf numFmtId="49" fontId="8" fillId="0" borderId="2" xfId="0" applyNumberFormat="1" applyFont="1" applyFill="1" applyBorder="1" applyAlignment="1">
      <alignment horizontal="left"/>
    </xf>
    <xf numFmtId="49" fontId="10" fillId="0" borderId="0" xfId="0" applyNumberFormat="1" applyFont="1" applyAlignment="1">
      <alignment horizontal="left"/>
    </xf>
    <xf numFmtId="49" fontId="10" fillId="0" borderId="2" xfId="0" applyNumberFormat="1" applyFont="1" applyFill="1" applyBorder="1" applyAlignment="1">
      <alignment horizontal="left"/>
    </xf>
    <xf numFmtId="167" fontId="0" fillId="0" borderId="0" xfId="0" applyNumberFormat="1" applyAlignment="1">
      <alignment horizontal="left"/>
    </xf>
    <xf numFmtId="0" fontId="6" fillId="0" borderId="0" xfId="0" applyFont="1"/>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Means across States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'One Var Summary across States'!$B$7:$AF$7</c:f>
              <c:strCache>
                <c:ptCount val="31"/>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strCache>
            </c:strRef>
          </c:cat>
          <c:val>
            <c:numRef>
              <c:f>'One Var Summary across States'!$B$9:$AF$9</c:f>
              <c:numCache>
                <c:formatCode>0.000</c:formatCode>
                <c:ptCount val="31"/>
                <c:pt idx="0">
                  <c:v>66.184313725490185</c:v>
                </c:pt>
                <c:pt idx="1">
                  <c:v>65.876470588235293</c:v>
                </c:pt>
                <c:pt idx="2">
                  <c:v>65.452941176470588</c:v>
                </c:pt>
                <c:pt idx="3">
                  <c:v>65.509803921568633</c:v>
                </c:pt>
                <c:pt idx="4">
                  <c:v>65.405882352941163</c:v>
                </c:pt>
                <c:pt idx="5">
                  <c:v>65.47058823529413</c:v>
                </c:pt>
                <c:pt idx="6">
                  <c:v>65.450980392156865</c:v>
                </c:pt>
                <c:pt idx="7">
                  <c:v>65.533333333333317</c:v>
                </c:pt>
                <c:pt idx="8">
                  <c:v>65.580392156862757</c:v>
                </c:pt>
                <c:pt idx="9">
                  <c:v>65.325490196078434</c:v>
                </c:pt>
                <c:pt idx="10">
                  <c:v>65.258823529411771</c:v>
                </c:pt>
                <c:pt idx="11">
                  <c:v>66.23921568627452</c:v>
                </c:pt>
                <c:pt idx="12">
                  <c:v>66.843137254901961</c:v>
                </c:pt>
                <c:pt idx="13">
                  <c:v>67.14901960784313</c:v>
                </c:pt>
                <c:pt idx="14">
                  <c:v>67.843137254901976</c:v>
                </c:pt>
                <c:pt idx="15">
                  <c:v>68.637254901960773</c:v>
                </c:pt>
                <c:pt idx="16">
                  <c:v>69.052941176470583</c:v>
                </c:pt>
                <c:pt idx="17">
                  <c:v>69.352941176470594</c:v>
                </c:pt>
                <c:pt idx="18">
                  <c:v>69.462745098039221</c:v>
                </c:pt>
                <c:pt idx="19">
                  <c:v>69.90000000000002</c:v>
                </c:pt>
                <c:pt idx="20">
                  <c:v>70.458823529411788</c:v>
                </c:pt>
                <c:pt idx="21">
                  <c:v>70.278431372549036</c:v>
                </c:pt>
                <c:pt idx="22">
                  <c:v>70.217647058823502</c:v>
                </c:pt>
                <c:pt idx="23">
                  <c:v>69.619607843137274</c:v>
                </c:pt>
                <c:pt idx="24">
                  <c:v>69.552941176470597</c:v>
                </c:pt>
                <c:pt idx="25">
                  <c:v>69.226960784313718</c:v>
                </c:pt>
                <c:pt idx="26">
                  <c:v>68.588725490196083</c:v>
                </c:pt>
                <c:pt idx="27">
                  <c:v>67.99166666666666</c:v>
                </c:pt>
                <c:pt idx="28">
                  <c:v>67.289705882352933</c:v>
                </c:pt>
                <c:pt idx="29">
                  <c:v>67.08480392156865</c:v>
                </c:pt>
                <c:pt idx="30">
                  <c:v>66.420588235294119</c:v>
                </c:pt>
              </c:numCache>
            </c:numRef>
          </c:val>
          <c:smooth val="0"/>
          <c:extLst>
            <c:ext xmlns:c16="http://schemas.microsoft.com/office/drawing/2014/chart" uri="{C3380CC4-5D6E-409C-BE32-E72D297353CC}">
              <c16:uniqueId val="{00000000-3512-4C28-9B0F-BB2B58300518}"/>
            </c:ext>
          </c:extLst>
        </c:ser>
        <c:dLbls>
          <c:showLegendKey val="0"/>
          <c:showVal val="0"/>
          <c:showCatName val="0"/>
          <c:showSerName val="0"/>
          <c:showPercent val="0"/>
          <c:showBubbleSize val="0"/>
        </c:dLbls>
        <c:marker val="1"/>
        <c:smooth val="0"/>
        <c:axId val="416091272"/>
        <c:axId val="416087336"/>
      </c:lineChart>
      <c:catAx>
        <c:axId val="416091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6087336"/>
        <c:crosses val="autoZero"/>
        <c:auto val="1"/>
        <c:lblAlgn val="ctr"/>
        <c:lblOffset val="100"/>
        <c:noMultiLvlLbl val="0"/>
      </c:catAx>
      <c:valAx>
        <c:axId val="416087336"/>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6091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Std</a:t>
            </a:r>
            <a:r>
              <a:rPr lang="en-US" baseline="0"/>
              <a:t> Devs</a:t>
            </a:r>
            <a:r>
              <a:rPr lang="en-US"/>
              <a:t> across States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'One Var Summary across States'!$B$7:$AF$7</c:f>
              <c:strCache>
                <c:ptCount val="31"/>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strCache>
            </c:strRef>
          </c:cat>
          <c:val>
            <c:numRef>
              <c:f>'One Var Summary across States'!$B$10:$AF$10</c:f>
              <c:numCache>
                <c:formatCode>0.000</c:formatCode>
                <c:ptCount val="31"/>
                <c:pt idx="0">
                  <c:v>6.7308653990113223</c:v>
                </c:pt>
                <c:pt idx="1">
                  <c:v>6.7344068257061558</c:v>
                </c:pt>
                <c:pt idx="2">
                  <c:v>6.8665669134197334</c:v>
                </c:pt>
                <c:pt idx="3">
                  <c:v>6.7459396647749763</c:v>
                </c:pt>
                <c:pt idx="4">
                  <c:v>6.6203447573281515</c:v>
                </c:pt>
                <c:pt idx="5">
                  <c:v>6.4425862545299939</c:v>
                </c:pt>
                <c:pt idx="6">
                  <c:v>6.5483852222977728</c:v>
                </c:pt>
                <c:pt idx="7">
                  <c:v>6.6842401712286392</c:v>
                </c:pt>
                <c:pt idx="8">
                  <c:v>6.8074083058927251</c:v>
                </c:pt>
                <c:pt idx="9">
                  <c:v>6.6996072463169032</c:v>
                </c:pt>
                <c:pt idx="10">
                  <c:v>6.3664488208290262</c:v>
                </c:pt>
                <c:pt idx="11">
                  <c:v>6.5405222553362679</c:v>
                </c:pt>
                <c:pt idx="12">
                  <c:v>6.6880267613687305</c:v>
                </c:pt>
                <c:pt idx="13">
                  <c:v>6.5489349530750305</c:v>
                </c:pt>
                <c:pt idx="14">
                  <c:v>6.7003061094836811</c:v>
                </c:pt>
                <c:pt idx="15">
                  <c:v>6.7896969235545042</c:v>
                </c:pt>
                <c:pt idx="16">
                  <c:v>6.5897603276955836</c:v>
                </c:pt>
                <c:pt idx="17">
                  <c:v>6.503886620819169</c:v>
                </c:pt>
                <c:pt idx="18">
                  <c:v>6.2209632946775608</c:v>
                </c:pt>
                <c:pt idx="19">
                  <c:v>6.2704385811520407</c:v>
                </c:pt>
                <c:pt idx="20">
                  <c:v>5.9899307665644432</c:v>
                </c:pt>
                <c:pt idx="21">
                  <c:v>5.9227126800306689</c:v>
                </c:pt>
                <c:pt idx="22">
                  <c:v>5.6141145653558917</c:v>
                </c:pt>
                <c:pt idx="23">
                  <c:v>5.4861651308666648</c:v>
                </c:pt>
                <c:pt idx="24">
                  <c:v>5.883956252086735</c:v>
                </c:pt>
                <c:pt idx="25">
                  <c:v>5.8997877994408734</c:v>
                </c:pt>
                <c:pt idx="26">
                  <c:v>5.872131882301117</c:v>
                </c:pt>
                <c:pt idx="27">
                  <c:v>6.0595661285826941</c:v>
                </c:pt>
                <c:pt idx="28">
                  <c:v>5.8932889299409643</c:v>
                </c:pt>
                <c:pt idx="29">
                  <c:v>6.0055080518457649</c:v>
                </c:pt>
                <c:pt idx="30">
                  <c:v>6.0187617204088433</c:v>
                </c:pt>
              </c:numCache>
            </c:numRef>
          </c:val>
          <c:smooth val="0"/>
          <c:extLst>
            <c:ext xmlns:c16="http://schemas.microsoft.com/office/drawing/2014/chart" uri="{C3380CC4-5D6E-409C-BE32-E72D297353CC}">
              <c16:uniqueId val="{00000000-98CC-4CF5-90BC-91D80F647498}"/>
            </c:ext>
          </c:extLst>
        </c:ser>
        <c:dLbls>
          <c:showLegendKey val="0"/>
          <c:showVal val="0"/>
          <c:showCatName val="0"/>
          <c:showSerName val="0"/>
          <c:showPercent val="0"/>
          <c:showBubbleSize val="0"/>
        </c:dLbls>
        <c:marker val="1"/>
        <c:smooth val="0"/>
        <c:axId val="416091272"/>
        <c:axId val="416087336"/>
      </c:lineChart>
      <c:catAx>
        <c:axId val="416091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6087336"/>
        <c:crosses val="autoZero"/>
        <c:auto val="1"/>
        <c:lblAlgn val="ctr"/>
        <c:lblOffset val="100"/>
        <c:noMultiLvlLbl val="0"/>
      </c:catAx>
      <c:valAx>
        <c:axId val="416087336"/>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6091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Medians across Years</a:t>
            </a:r>
          </a:p>
        </c:rich>
      </c:tx>
      <c:layout/>
      <c:overlay val="0"/>
    </c:title>
    <c:autoTitleDeleted val="0"/>
    <c:plotArea>
      <c:layout/>
      <c:barChart>
        <c:barDir val="col"/>
        <c:grouping val="stacked"/>
        <c:varyColors val="0"/>
        <c:ser>
          <c:idx val="0"/>
          <c:order val="0"/>
          <c:tx>
            <c:v>Minimum</c:v>
          </c:tx>
          <c:invertIfNegative val="0"/>
          <c:cat>
            <c:strRef>
              <c:f>'One Var Summary across Years'!$B$7:$AZ$7</c:f>
              <c:strCache>
                <c:ptCount val="51"/>
                <c:pt idx="0">
                  <c:v>Alabama</c:v>
                </c:pt>
                <c:pt idx="1">
                  <c:v>Alaska</c:v>
                </c:pt>
                <c:pt idx="2">
                  <c:v>Arizona</c:v>
                </c:pt>
                <c:pt idx="3">
                  <c:v>Arkansas</c:v>
                </c:pt>
                <c:pt idx="4">
                  <c:v>California</c:v>
                </c:pt>
                <c:pt idx="5">
                  <c:v>Colorado</c:v>
                </c:pt>
                <c:pt idx="6">
                  <c:v>Connecticut</c:v>
                </c:pt>
                <c:pt idx="7">
                  <c:v>Delaware</c:v>
                </c:pt>
                <c:pt idx="8">
                  <c:v>Dist of Columbia</c:v>
                </c:pt>
                <c:pt idx="9">
                  <c:v>Florida</c:v>
                </c:pt>
                <c:pt idx="10">
                  <c:v>Georgia</c:v>
                </c:pt>
                <c:pt idx="11">
                  <c:v>Hawaii</c:v>
                </c:pt>
                <c:pt idx="12">
                  <c:v>Idaho</c:v>
                </c:pt>
                <c:pt idx="13">
                  <c:v>Illinois</c:v>
                </c:pt>
                <c:pt idx="14">
                  <c:v>Indiana</c:v>
                </c:pt>
                <c:pt idx="15">
                  <c:v>Iowa</c:v>
                </c:pt>
                <c:pt idx="16">
                  <c:v>Kansas</c:v>
                </c:pt>
                <c:pt idx="17">
                  <c:v>Kentucky</c:v>
                </c:pt>
                <c:pt idx="18">
                  <c:v>Louisiana</c:v>
                </c:pt>
                <c:pt idx="19">
                  <c:v>Maine</c:v>
                </c:pt>
                <c:pt idx="20">
                  <c:v>Maryland</c:v>
                </c:pt>
                <c:pt idx="21">
                  <c:v>Massachusetts</c:v>
                </c:pt>
                <c:pt idx="22">
                  <c:v>Michigan</c:v>
                </c:pt>
                <c:pt idx="23">
                  <c:v>Minnesota</c:v>
                </c:pt>
                <c:pt idx="24">
                  <c:v>Mississippi</c:v>
                </c:pt>
                <c:pt idx="25">
                  <c:v>Missouri</c:v>
                </c:pt>
                <c:pt idx="26">
                  <c:v>Montana</c:v>
                </c:pt>
                <c:pt idx="27">
                  <c:v>Nebraska</c:v>
                </c:pt>
                <c:pt idx="28">
                  <c:v>Nevada</c:v>
                </c:pt>
                <c:pt idx="29">
                  <c:v>New Hampshire</c:v>
                </c:pt>
                <c:pt idx="30">
                  <c:v>New Jersey</c:v>
                </c:pt>
                <c:pt idx="31">
                  <c:v>New Mexico</c:v>
                </c:pt>
                <c:pt idx="32">
                  <c:v>New York</c:v>
                </c:pt>
                <c:pt idx="33">
                  <c:v>North Carolina</c:v>
                </c:pt>
                <c:pt idx="34">
                  <c:v>North Dakota</c:v>
                </c:pt>
                <c:pt idx="35">
                  <c:v>Ohio</c:v>
                </c:pt>
                <c:pt idx="36">
                  <c:v>Oklahoma</c:v>
                </c:pt>
                <c:pt idx="37">
                  <c:v>Oregon</c:v>
                </c:pt>
                <c:pt idx="38">
                  <c:v>Pennsylvania</c:v>
                </c:pt>
                <c:pt idx="39">
                  <c:v>Rhode Island</c:v>
                </c:pt>
                <c:pt idx="40">
                  <c:v>South Carolina</c:v>
                </c:pt>
                <c:pt idx="41">
                  <c:v>South Dakota</c:v>
                </c:pt>
                <c:pt idx="42">
                  <c:v>Tennessee</c:v>
                </c:pt>
                <c:pt idx="43">
                  <c:v>Texas</c:v>
                </c:pt>
                <c:pt idx="44">
                  <c:v>Utah</c:v>
                </c:pt>
                <c:pt idx="45">
                  <c:v>Vermont</c:v>
                </c:pt>
                <c:pt idx="46">
                  <c:v>Virginia</c:v>
                </c:pt>
                <c:pt idx="47">
                  <c:v>Washington</c:v>
                </c:pt>
                <c:pt idx="48">
                  <c:v>West Virginia</c:v>
                </c:pt>
                <c:pt idx="49">
                  <c:v>Wisconsin</c:v>
                </c:pt>
                <c:pt idx="50">
                  <c:v>Wyoming</c:v>
                </c:pt>
              </c:strCache>
            </c:strRef>
          </c:cat>
          <c:val>
            <c:numRef>
              <c:f>'One Var Summary across Years'!$B$12:$AZ$12</c:f>
              <c:numCache>
                <c:formatCode>0.000</c:formatCode>
                <c:ptCount val="51"/>
                <c:pt idx="0">
                  <c:v>66.5</c:v>
                </c:pt>
                <c:pt idx="1">
                  <c:v>55.4</c:v>
                </c:pt>
                <c:pt idx="2">
                  <c:v>62</c:v>
                </c:pt>
                <c:pt idx="3">
                  <c:v>65.375</c:v>
                </c:pt>
                <c:pt idx="4">
                  <c:v>53.6</c:v>
                </c:pt>
                <c:pt idx="5">
                  <c:v>58.6</c:v>
                </c:pt>
                <c:pt idx="6">
                  <c:v>63.8</c:v>
                </c:pt>
                <c:pt idx="7">
                  <c:v>67.7</c:v>
                </c:pt>
                <c:pt idx="8">
                  <c:v>34.6</c:v>
                </c:pt>
                <c:pt idx="9">
                  <c:v>64.400000000000006</c:v>
                </c:pt>
                <c:pt idx="10">
                  <c:v>62.4</c:v>
                </c:pt>
                <c:pt idx="11">
                  <c:v>50.2</c:v>
                </c:pt>
                <c:pt idx="12">
                  <c:v>68.400000000000006</c:v>
                </c:pt>
                <c:pt idx="13">
                  <c:v>60.6</c:v>
                </c:pt>
                <c:pt idx="14">
                  <c:v>66.099999999999994</c:v>
                </c:pt>
                <c:pt idx="15">
                  <c:v>66.3</c:v>
                </c:pt>
                <c:pt idx="16">
                  <c:v>63.199999999999996</c:v>
                </c:pt>
                <c:pt idx="17">
                  <c:v>64.900000000000006</c:v>
                </c:pt>
                <c:pt idx="18">
                  <c:v>64.900000000000006</c:v>
                </c:pt>
                <c:pt idx="19">
                  <c:v>71.024999999999991</c:v>
                </c:pt>
                <c:pt idx="20">
                  <c:v>62.7</c:v>
                </c:pt>
                <c:pt idx="21">
                  <c:v>58.6</c:v>
                </c:pt>
                <c:pt idx="22">
                  <c:v>70.599999999999994</c:v>
                </c:pt>
                <c:pt idx="23">
                  <c:v>65.8</c:v>
                </c:pt>
                <c:pt idx="24">
                  <c:v>69.2</c:v>
                </c:pt>
                <c:pt idx="25">
                  <c:v>63.7</c:v>
                </c:pt>
                <c:pt idx="26">
                  <c:v>64.400000000000006</c:v>
                </c:pt>
                <c:pt idx="27">
                  <c:v>66.599999999999994</c:v>
                </c:pt>
                <c:pt idx="28">
                  <c:v>54.1</c:v>
                </c:pt>
                <c:pt idx="29">
                  <c:v>64.8</c:v>
                </c:pt>
                <c:pt idx="30">
                  <c:v>62.3</c:v>
                </c:pt>
                <c:pt idx="31">
                  <c:v>65.400000000000006</c:v>
                </c:pt>
                <c:pt idx="32">
                  <c:v>50.3</c:v>
                </c:pt>
                <c:pt idx="33">
                  <c:v>66.425000000000011</c:v>
                </c:pt>
                <c:pt idx="34">
                  <c:v>62.7</c:v>
                </c:pt>
                <c:pt idx="35">
                  <c:v>67.375</c:v>
                </c:pt>
                <c:pt idx="36">
                  <c:v>68.400000000000006</c:v>
                </c:pt>
                <c:pt idx="37">
                  <c:v>61</c:v>
                </c:pt>
                <c:pt idx="38">
                  <c:v>69.675000000000011</c:v>
                </c:pt>
                <c:pt idx="39">
                  <c:v>56.5</c:v>
                </c:pt>
                <c:pt idx="40">
                  <c:v>69.099999999999994</c:v>
                </c:pt>
                <c:pt idx="41">
                  <c:v>65.599999999999994</c:v>
                </c:pt>
                <c:pt idx="42">
                  <c:v>64.099999999999994</c:v>
                </c:pt>
                <c:pt idx="43">
                  <c:v>58.3</c:v>
                </c:pt>
                <c:pt idx="44">
                  <c:v>68</c:v>
                </c:pt>
                <c:pt idx="45">
                  <c:v>66.900000000000006</c:v>
                </c:pt>
                <c:pt idx="46">
                  <c:v>67.8</c:v>
                </c:pt>
                <c:pt idx="47">
                  <c:v>61.6</c:v>
                </c:pt>
                <c:pt idx="48">
                  <c:v>72</c:v>
                </c:pt>
                <c:pt idx="49">
                  <c:v>63.8</c:v>
                </c:pt>
                <c:pt idx="50">
                  <c:v>65.8</c:v>
                </c:pt>
              </c:numCache>
            </c:numRef>
          </c:val>
          <c:extLst>
            <c:ext xmlns:c16="http://schemas.microsoft.com/office/drawing/2014/chart" uri="{C3380CC4-5D6E-409C-BE32-E72D297353CC}">
              <c16:uniqueId val="{00000000-4331-40CC-9512-71CF588A89EC}"/>
            </c:ext>
          </c:extLst>
        </c:ser>
        <c:ser>
          <c:idx val="1"/>
          <c:order val="1"/>
          <c:tx>
            <c:v>Range</c:v>
          </c:tx>
          <c:invertIfNegative val="0"/>
          <c:val>
            <c:numRef>
              <c:f>'One Var Summary across Years'!$B$16:$AZ$16</c:f>
              <c:numCache>
                <c:formatCode>0.000</c:formatCode>
                <c:ptCount val="51"/>
                <c:pt idx="0">
                  <c:v>11.5</c:v>
                </c:pt>
                <c:pt idx="1">
                  <c:v>14.600000000000001</c:v>
                </c:pt>
                <c:pt idx="2">
                  <c:v>9.5999999999999943</c:v>
                </c:pt>
                <c:pt idx="3">
                  <c:v>5.8250000000000028</c:v>
                </c:pt>
                <c:pt idx="4">
                  <c:v>6.6000000000000014</c:v>
                </c:pt>
                <c:pt idx="5">
                  <c:v>12.699999999999996</c:v>
                </c:pt>
                <c:pt idx="6">
                  <c:v>9.2000000000000028</c:v>
                </c:pt>
                <c:pt idx="7">
                  <c:v>9.5999999999999943</c:v>
                </c:pt>
                <c:pt idx="8">
                  <c:v>12.600000000000001</c:v>
                </c:pt>
                <c:pt idx="9">
                  <c:v>8</c:v>
                </c:pt>
                <c:pt idx="10">
                  <c:v>9.3999999999999986</c:v>
                </c:pt>
                <c:pt idx="11">
                  <c:v>10.399999999999999</c:v>
                </c:pt>
                <c:pt idx="12">
                  <c:v>7.0249999999999915</c:v>
                </c:pt>
                <c:pt idx="13">
                  <c:v>12.100000000000001</c:v>
                </c:pt>
                <c:pt idx="14">
                  <c:v>9.7000000000000028</c:v>
                </c:pt>
                <c:pt idx="15">
                  <c:v>10.299999999999997</c:v>
                </c:pt>
                <c:pt idx="16">
                  <c:v>9.5000000000000071</c:v>
                </c:pt>
                <c:pt idx="17">
                  <c:v>10.199999999999989</c:v>
                </c:pt>
                <c:pt idx="18">
                  <c:v>8.5999999999999943</c:v>
                </c:pt>
                <c:pt idx="19">
                  <c:v>6.3750000000000142</c:v>
                </c:pt>
                <c:pt idx="20">
                  <c:v>9.8999999999999915</c:v>
                </c:pt>
                <c:pt idx="21">
                  <c:v>7.2250000000000014</c:v>
                </c:pt>
                <c:pt idx="22">
                  <c:v>6.8000000000000114</c:v>
                </c:pt>
                <c:pt idx="23">
                  <c:v>11.5</c:v>
                </c:pt>
                <c:pt idx="24">
                  <c:v>9.5999999999999943</c:v>
                </c:pt>
                <c:pt idx="25">
                  <c:v>11.099999999999994</c:v>
                </c:pt>
                <c:pt idx="26">
                  <c:v>8</c:v>
                </c:pt>
                <c:pt idx="27">
                  <c:v>4.6000000000000085</c:v>
                </c:pt>
                <c:pt idx="28">
                  <c:v>11.600000000000001</c:v>
                </c:pt>
                <c:pt idx="29">
                  <c:v>11.225000000000009</c:v>
                </c:pt>
                <c:pt idx="30">
                  <c:v>7.7999999999999972</c:v>
                </c:pt>
                <c:pt idx="31">
                  <c:v>8.2999999999999972</c:v>
                </c:pt>
                <c:pt idx="32">
                  <c:v>5.6000000000000014</c:v>
                </c:pt>
                <c:pt idx="33">
                  <c:v>5.2749999999999915</c:v>
                </c:pt>
                <c:pt idx="34">
                  <c:v>8.2999999999999972</c:v>
                </c:pt>
                <c:pt idx="35">
                  <c:v>5.9249999999999972</c:v>
                </c:pt>
                <c:pt idx="36">
                  <c:v>4.5</c:v>
                </c:pt>
                <c:pt idx="37">
                  <c:v>8</c:v>
                </c:pt>
                <c:pt idx="38">
                  <c:v>5.5249999999999915</c:v>
                </c:pt>
                <c:pt idx="39">
                  <c:v>8.4000000000000057</c:v>
                </c:pt>
                <c:pt idx="40">
                  <c:v>8.4000000000000057</c:v>
                </c:pt>
                <c:pt idx="41">
                  <c:v>5.9000000000000057</c:v>
                </c:pt>
                <c:pt idx="42">
                  <c:v>8.3000000000000114</c:v>
                </c:pt>
                <c:pt idx="43">
                  <c:v>7.7000000000000028</c:v>
                </c:pt>
                <c:pt idx="44">
                  <c:v>8.2000000000000028</c:v>
                </c:pt>
                <c:pt idx="45">
                  <c:v>7.6999999999999886</c:v>
                </c:pt>
                <c:pt idx="46">
                  <c:v>7.2999999999999972</c:v>
                </c:pt>
                <c:pt idx="47">
                  <c:v>5.9999999999999929</c:v>
                </c:pt>
                <c:pt idx="48">
                  <c:v>9.2999999999999972</c:v>
                </c:pt>
                <c:pt idx="49">
                  <c:v>9.5</c:v>
                </c:pt>
                <c:pt idx="50">
                  <c:v>7.9750000000000085</c:v>
                </c:pt>
              </c:numCache>
            </c:numRef>
          </c:val>
          <c:extLst>
            <c:ext xmlns:c16="http://schemas.microsoft.com/office/drawing/2014/chart" uri="{C3380CC4-5D6E-409C-BE32-E72D297353CC}">
              <c16:uniqueId val="{00000001-4331-40CC-9512-71CF588A89EC}"/>
            </c:ext>
          </c:extLst>
        </c:ser>
        <c:dLbls>
          <c:showLegendKey val="0"/>
          <c:showVal val="0"/>
          <c:showCatName val="0"/>
          <c:showSerName val="0"/>
          <c:showPercent val="0"/>
          <c:showBubbleSize val="0"/>
        </c:dLbls>
        <c:gapWidth val="150"/>
        <c:overlap val="100"/>
        <c:axId val="704076536"/>
        <c:axId val="960875216"/>
      </c:barChart>
      <c:catAx>
        <c:axId val="704076536"/>
        <c:scaling>
          <c:orientation val="minMax"/>
        </c:scaling>
        <c:delete val="0"/>
        <c:axPos val="b"/>
        <c:numFmt formatCode="General" sourceLinked="0"/>
        <c:majorTickMark val="out"/>
        <c:minorTickMark val="none"/>
        <c:tickLblPos val="nextTo"/>
        <c:txPr>
          <a:bodyPr rot="-5400000"/>
          <a:lstStyle/>
          <a:p>
            <a:pPr>
              <a:defRPr/>
            </a:pPr>
            <a:endParaRPr lang="en-US"/>
          </a:p>
        </c:txPr>
        <c:crossAx val="960875216"/>
        <c:crosses val="autoZero"/>
        <c:auto val="1"/>
        <c:lblAlgn val="ctr"/>
        <c:lblOffset val="100"/>
        <c:noMultiLvlLbl val="0"/>
      </c:catAx>
      <c:valAx>
        <c:axId val="960875216"/>
        <c:scaling>
          <c:orientation val="minMax"/>
        </c:scaling>
        <c:delete val="0"/>
        <c:axPos val="l"/>
        <c:majorGridlines/>
        <c:numFmt formatCode="0.000" sourceLinked="1"/>
        <c:majorTickMark val="out"/>
        <c:minorTickMark val="none"/>
        <c:tickLblPos val="nextTo"/>
        <c:crossAx val="70407653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371475</xdr:colOff>
      <xdr:row>1</xdr:row>
      <xdr:rowOff>57150</xdr:rowOff>
    </xdr:from>
    <xdr:to>
      <xdr:col>4</xdr:col>
      <xdr:colOff>466725</xdr:colOff>
      <xdr:row>6</xdr:row>
      <xdr:rowOff>180974</xdr:rowOff>
    </xdr:to>
    <xdr:sp macro="" textlink="">
      <xdr:nvSpPr>
        <xdr:cNvPr id="2" name="TextBox 1"/>
        <xdr:cNvSpPr txBox="1"/>
      </xdr:nvSpPr>
      <xdr:spPr>
        <a:xfrm>
          <a:off x="371475" y="247650"/>
          <a:ext cx="2533650" cy="107632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 Bureau</a:t>
          </a:r>
        </a:p>
        <a:p>
          <a:endParaRPr lang="en-US" sz="1100"/>
        </a:p>
        <a:p>
          <a:r>
            <a:rPr lang="en-US" sz="1100"/>
            <a:t>Each value is the percentage of households who own their own home.</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114300</xdr:colOff>
      <xdr:row>8</xdr:row>
      <xdr:rowOff>76200</xdr:rowOff>
    </xdr:from>
    <xdr:to>
      <xdr:col>9</xdr:col>
      <xdr:colOff>371475</xdr:colOff>
      <xdr:row>14</xdr:row>
      <xdr:rowOff>76199</xdr:rowOff>
    </xdr:to>
    <xdr:sp macro="" textlink="">
      <xdr:nvSpPr>
        <xdr:cNvPr id="4" name="TextBox 3"/>
        <xdr:cNvSpPr txBox="1"/>
      </xdr:nvSpPr>
      <xdr:spPr>
        <a:xfrm>
          <a:off x="5000625" y="1457325"/>
          <a:ext cx="3648075" cy="114299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one way to answer part a. The variables in the previous sheet are the years, so the summary measures above are over states. Then time</a:t>
          </a:r>
          <a:r>
            <a:rPr lang="en-US" sz="1100" baseline="0"/>
            <a:t> series charts of the means and standard deviations show what has been happening through time.</a:t>
          </a:r>
          <a:endParaRPr lang="en-US" sz="1100"/>
        </a:p>
      </xdr:txBody>
    </xdr:sp>
    <xdr:clientData/>
  </xdr:twoCellAnchor>
  <xdr:twoCellAnchor>
    <xdr:from>
      <xdr:col>1</xdr:col>
      <xdr:colOff>742950</xdr:colOff>
      <xdr:row>16</xdr:row>
      <xdr:rowOff>14287</xdr:rowOff>
    </xdr:from>
    <xdr:to>
      <xdr:col>6</xdr:col>
      <xdr:colOff>704850</xdr:colOff>
      <xdr:row>30</xdr:row>
      <xdr:rowOff>90487</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16</xdr:row>
      <xdr:rowOff>0</xdr:rowOff>
    </xdr:from>
    <xdr:to>
      <xdr:col>12</xdr:col>
      <xdr:colOff>333375</xdr:colOff>
      <xdr:row>30</xdr:row>
      <xdr:rowOff>76200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257174</xdr:colOff>
      <xdr:row>17</xdr:row>
      <xdr:rowOff>38100</xdr:rowOff>
    </xdr:from>
    <xdr:to>
      <xdr:col>15</xdr:col>
      <xdr:colOff>523875</xdr:colOff>
      <xdr:row>31</xdr:row>
      <xdr:rowOff>114300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361950</xdr:colOff>
      <xdr:row>8</xdr:row>
      <xdr:rowOff>19050</xdr:rowOff>
    </xdr:from>
    <xdr:to>
      <xdr:col>10</xdr:col>
      <xdr:colOff>133350</xdr:colOff>
      <xdr:row>17</xdr:row>
      <xdr:rowOff>0</xdr:rowOff>
    </xdr:to>
    <xdr:sp macro="" textlink="">
      <xdr:nvSpPr>
        <xdr:cNvPr id="4" name="TextBox 3"/>
        <xdr:cNvSpPr txBox="1"/>
      </xdr:nvSpPr>
      <xdr:spPr>
        <a:xfrm>
          <a:off x="5724525" y="1400175"/>
          <a:ext cx="3162300" cy="1695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one way to answer part b. In the previous</a:t>
          </a:r>
          <a:r>
            <a:rPr lang="en-US" sz="1100" baseline="0"/>
            <a:t> sheet, I created a StatTools date set using the rows (States) as the variables. So the summary measures above are across years. Each blue bar in the column chart is the minimum over all years, the red is the range, so blue plus red is the maximum. The chart is relatively flat across states, but there are some obvious exceptions.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F52"/>
  <sheetViews>
    <sheetView tabSelected="1" workbookViewId="0"/>
  </sheetViews>
  <sheetFormatPr defaultRowHeight="15" x14ac:dyDescent="0.25"/>
  <cols>
    <col min="1" max="1" width="14.85546875" style="2" customWidth="1"/>
    <col min="2" max="2" width="13.28515625" style="2" customWidth="1"/>
    <col min="3" max="3" width="13" style="2" customWidth="1"/>
    <col min="4" max="14" width="11.28515625" style="2" bestFit="1" customWidth="1"/>
    <col min="15" max="18" width="11.28515625" style="3" bestFit="1" customWidth="1"/>
    <col min="19" max="21" width="11.28515625" style="4" bestFit="1" customWidth="1"/>
    <col min="22" max="23" width="11.85546875" style="2" bestFit="1" customWidth="1"/>
    <col min="24" max="24" width="12.28515625" style="2" bestFit="1" customWidth="1"/>
    <col min="25" max="25" width="11.85546875" style="2" bestFit="1" customWidth="1"/>
    <col min="26" max="26" width="12.28515625" style="2" bestFit="1" customWidth="1"/>
    <col min="27" max="256" width="9.140625" style="2"/>
    <col min="257" max="257" width="14.85546875" style="2" customWidth="1"/>
    <col min="258" max="258" width="13.28515625" style="2" customWidth="1"/>
    <col min="259" max="259" width="13" style="2" customWidth="1"/>
    <col min="260" max="277" width="11.28515625" style="2" bestFit="1" customWidth="1"/>
    <col min="278" max="512" width="9.140625" style="2"/>
    <col min="513" max="513" width="14.85546875" style="2" customWidth="1"/>
    <col min="514" max="514" width="13.28515625" style="2" customWidth="1"/>
    <col min="515" max="515" width="13" style="2" customWidth="1"/>
    <col min="516" max="533" width="11.28515625" style="2" bestFit="1" customWidth="1"/>
    <col min="534" max="768" width="9.140625" style="2"/>
    <col min="769" max="769" width="14.85546875" style="2" customWidth="1"/>
    <col min="770" max="770" width="13.28515625" style="2" customWidth="1"/>
    <col min="771" max="771" width="13" style="2" customWidth="1"/>
    <col min="772" max="789" width="11.28515625" style="2" bestFit="1" customWidth="1"/>
    <col min="790" max="1024" width="9.140625" style="2"/>
    <col min="1025" max="1025" width="14.85546875" style="2" customWidth="1"/>
    <col min="1026" max="1026" width="13.28515625" style="2" customWidth="1"/>
    <col min="1027" max="1027" width="13" style="2" customWidth="1"/>
    <col min="1028" max="1045" width="11.28515625" style="2" bestFit="1" customWidth="1"/>
    <col min="1046" max="1280" width="9.140625" style="2"/>
    <col min="1281" max="1281" width="14.85546875" style="2" customWidth="1"/>
    <col min="1282" max="1282" width="13.28515625" style="2" customWidth="1"/>
    <col min="1283" max="1283" width="13" style="2" customWidth="1"/>
    <col min="1284" max="1301" width="11.28515625" style="2" bestFit="1" customWidth="1"/>
    <col min="1302" max="1536" width="9.140625" style="2"/>
    <col min="1537" max="1537" width="14.85546875" style="2" customWidth="1"/>
    <col min="1538" max="1538" width="13.28515625" style="2" customWidth="1"/>
    <col min="1539" max="1539" width="13" style="2" customWidth="1"/>
    <col min="1540" max="1557" width="11.28515625" style="2" bestFit="1" customWidth="1"/>
    <col min="1558" max="1792" width="9.140625" style="2"/>
    <col min="1793" max="1793" width="14.85546875" style="2" customWidth="1"/>
    <col min="1794" max="1794" width="13.28515625" style="2" customWidth="1"/>
    <col min="1795" max="1795" width="13" style="2" customWidth="1"/>
    <col min="1796" max="1813" width="11.28515625" style="2" bestFit="1" customWidth="1"/>
    <col min="1814" max="2048" width="9.140625" style="2"/>
    <col min="2049" max="2049" width="14.85546875" style="2" customWidth="1"/>
    <col min="2050" max="2050" width="13.28515625" style="2" customWidth="1"/>
    <col min="2051" max="2051" width="13" style="2" customWidth="1"/>
    <col min="2052" max="2069" width="11.28515625" style="2" bestFit="1" customWidth="1"/>
    <col min="2070" max="2304" width="9.140625" style="2"/>
    <col min="2305" max="2305" width="14.85546875" style="2" customWidth="1"/>
    <col min="2306" max="2306" width="13.28515625" style="2" customWidth="1"/>
    <col min="2307" max="2307" width="13" style="2" customWidth="1"/>
    <col min="2308" max="2325" width="11.28515625" style="2" bestFit="1" customWidth="1"/>
    <col min="2326" max="2560" width="9.140625" style="2"/>
    <col min="2561" max="2561" width="14.85546875" style="2" customWidth="1"/>
    <col min="2562" max="2562" width="13.28515625" style="2" customWidth="1"/>
    <col min="2563" max="2563" width="13" style="2" customWidth="1"/>
    <col min="2564" max="2581" width="11.28515625" style="2" bestFit="1" customWidth="1"/>
    <col min="2582" max="2816" width="9.140625" style="2"/>
    <col min="2817" max="2817" width="14.85546875" style="2" customWidth="1"/>
    <col min="2818" max="2818" width="13.28515625" style="2" customWidth="1"/>
    <col min="2819" max="2819" width="13" style="2" customWidth="1"/>
    <col min="2820" max="2837" width="11.28515625" style="2" bestFit="1" customWidth="1"/>
    <col min="2838" max="3072" width="9.140625" style="2"/>
    <col min="3073" max="3073" width="14.85546875" style="2" customWidth="1"/>
    <col min="3074" max="3074" width="13.28515625" style="2" customWidth="1"/>
    <col min="3075" max="3075" width="13" style="2" customWidth="1"/>
    <col min="3076" max="3093" width="11.28515625" style="2" bestFit="1" customWidth="1"/>
    <col min="3094" max="3328" width="9.140625" style="2"/>
    <col min="3329" max="3329" width="14.85546875" style="2" customWidth="1"/>
    <col min="3330" max="3330" width="13.28515625" style="2" customWidth="1"/>
    <col min="3331" max="3331" width="13" style="2" customWidth="1"/>
    <col min="3332" max="3349" width="11.28515625" style="2" bestFit="1" customWidth="1"/>
    <col min="3350" max="3584" width="9.140625" style="2"/>
    <col min="3585" max="3585" width="14.85546875" style="2" customWidth="1"/>
    <col min="3586" max="3586" width="13.28515625" style="2" customWidth="1"/>
    <col min="3587" max="3587" width="13" style="2" customWidth="1"/>
    <col min="3588" max="3605" width="11.28515625" style="2" bestFit="1" customWidth="1"/>
    <col min="3606" max="3840" width="9.140625" style="2"/>
    <col min="3841" max="3841" width="14.85546875" style="2" customWidth="1"/>
    <col min="3842" max="3842" width="13.28515625" style="2" customWidth="1"/>
    <col min="3843" max="3843" width="13" style="2" customWidth="1"/>
    <col min="3844" max="3861" width="11.28515625" style="2" bestFit="1" customWidth="1"/>
    <col min="3862" max="4096" width="9.140625" style="2"/>
    <col min="4097" max="4097" width="14.85546875" style="2" customWidth="1"/>
    <col min="4098" max="4098" width="13.28515625" style="2" customWidth="1"/>
    <col min="4099" max="4099" width="13" style="2" customWidth="1"/>
    <col min="4100" max="4117" width="11.28515625" style="2" bestFit="1" customWidth="1"/>
    <col min="4118" max="4352" width="9.140625" style="2"/>
    <col min="4353" max="4353" width="14.85546875" style="2" customWidth="1"/>
    <col min="4354" max="4354" width="13.28515625" style="2" customWidth="1"/>
    <col min="4355" max="4355" width="13" style="2" customWidth="1"/>
    <col min="4356" max="4373" width="11.28515625" style="2" bestFit="1" customWidth="1"/>
    <col min="4374" max="4608" width="9.140625" style="2"/>
    <col min="4609" max="4609" width="14.85546875" style="2" customWidth="1"/>
    <col min="4610" max="4610" width="13.28515625" style="2" customWidth="1"/>
    <col min="4611" max="4611" width="13" style="2" customWidth="1"/>
    <col min="4612" max="4629" width="11.28515625" style="2" bestFit="1" customWidth="1"/>
    <col min="4630" max="4864" width="9.140625" style="2"/>
    <col min="4865" max="4865" width="14.85546875" style="2" customWidth="1"/>
    <col min="4866" max="4866" width="13.28515625" style="2" customWidth="1"/>
    <col min="4867" max="4867" width="13" style="2" customWidth="1"/>
    <col min="4868" max="4885" width="11.28515625" style="2" bestFit="1" customWidth="1"/>
    <col min="4886" max="5120" width="9.140625" style="2"/>
    <col min="5121" max="5121" width="14.85546875" style="2" customWidth="1"/>
    <col min="5122" max="5122" width="13.28515625" style="2" customWidth="1"/>
    <col min="5123" max="5123" width="13" style="2" customWidth="1"/>
    <col min="5124" max="5141" width="11.28515625" style="2" bestFit="1" customWidth="1"/>
    <col min="5142" max="5376" width="9.140625" style="2"/>
    <col min="5377" max="5377" width="14.85546875" style="2" customWidth="1"/>
    <col min="5378" max="5378" width="13.28515625" style="2" customWidth="1"/>
    <col min="5379" max="5379" width="13" style="2" customWidth="1"/>
    <col min="5380" max="5397" width="11.28515625" style="2" bestFit="1" customWidth="1"/>
    <col min="5398" max="5632" width="9.140625" style="2"/>
    <col min="5633" max="5633" width="14.85546875" style="2" customWidth="1"/>
    <col min="5634" max="5634" width="13.28515625" style="2" customWidth="1"/>
    <col min="5635" max="5635" width="13" style="2" customWidth="1"/>
    <col min="5636" max="5653" width="11.28515625" style="2" bestFit="1" customWidth="1"/>
    <col min="5654" max="5888" width="9.140625" style="2"/>
    <col min="5889" max="5889" width="14.85546875" style="2" customWidth="1"/>
    <col min="5890" max="5890" width="13.28515625" style="2" customWidth="1"/>
    <col min="5891" max="5891" width="13" style="2" customWidth="1"/>
    <col min="5892" max="5909" width="11.28515625" style="2" bestFit="1" customWidth="1"/>
    <col min="5910" max="6144" width="9.140625" style="2"/>
    <col min="6145" max="6145" width="14.85546875" style="2" customWidth="1"/>
    <col min="6146" max="6146" width="13.28515625" style="2" customWidth="1"/>
    <col min="6147" max="6147" width="13" style="2" customWidth="1"/>
    <col min="6148" max="6165" width="11.28515625" style="2" bestFit="1" customWidth="1"/>
    <col min="6166" max="6400" width="9.140625" style="2"/>
    <col min="6401" max="6401" width="14.85546875" style="2" customWidth="1"/>
    <col min="6402" max="6402" width="13.28515625" style="2" customWidth="1"/>
    <col min="6403" max="6403" width="13" style="2" customWidth="1"/>
    <col min="6404" max="6421" width="11.28515625" style="2" bestFit="1" customWidth="1"/>
    <col min="6422" max="6656" width="9.140625" style="2"/>
    <col min="6657" max="6657" width="14.85546875" style="2" customWidth="1"/>
    <col min="6658" max="6658" width="13.28515625" style="2" customWidth="1"/>
    <col min="6659" max="6659" width="13" style="2" customWidth="1"/>
    <col min="6660" max="6677" width="11.28515625" style="2" bestFit="1" customWidth="1"/>
    <col min="6678" max="6912" width="9.140625" style="2"/>
    <col min="6913" max="6913" width="14.85546875" style="2" customWidth="1"/>
    <col min="6914" max="6914" width="13.28515625" style="2" customWidth="1"/>
    <col min="6915" max="6915" width="13" style="2" customWidth="1"/>
    <col min="6916" max="6933" width="11.28515625" style="2" bestFit="1" customWidth="1"/>
    <col min="6934" max="7168" width="9.140625" style="2"/>
    <col min="7169" max="7169" width="14.85546875" style="2" customWidth="1"/>
    <col min="7170" max="7170" width="13.28515625" style="2" customWidth="1"/>
    <col min="7171" max="7171" width="13" style="2" customWidth="1"/>
    <col min="7172" max="7189" width="11.28515625" style="2" bestFit="1" customWidth="1"/>
    <col min="7190" max="7424" width="9.140625" style="2"/>
    <col min="7425" max="7425" width="14.85546875" style="2" customWidth="1"/>
    <col min="7426" max="7426" width="13.28515625" style="2" customWidth="1"/>
    <col min="7427" max="7427" width="13" style="2" customWidth="1"/>
    <col min="7428" max="7445" width="11.28515625" style="2" bestFit="1" customWidth="1"/>
    <col min="7446" max="7680" width="9.140625" style="2"/>
    <col min="7681" max="7681" width="14.85546875" style="2" customWidth="1"/>
    <col min="7682" max="7682" width="13.28515625" style="2" customWidth="1"/>
    <col min="7683" max="7683" width="13" style="2" customWidth="1"/>
    <col min="7684" max="7701" width="11.28515625" style="2" bestFit="1" customWidth="1"/>
    <col min="7702" max="7936" width="9.140625" style="2"/>
    <col min="7937" max="7937" width="14.85546875" style="2" customWidth="1"/>
    <col min="7938" max="7938" width="13.28515625" style="2" customWidth="1"/>
    <col min="7939" max="7939" width="13" style="2" customWidth="1"/>
    <col min="7940" max="7957" width="11.28515625" style="2" bestFit="1" customWidth="1"/>
    <col min="7958" max="8192" width="9.140625" style="2"/>
    <col min="8193" max="8193" width="14.85546875" style="2" customWidth="1"/>
    <col min="8194" max="8194" width="13.28515625" style="2" customWidth="1"/>
    <col min="8195" max="8195" width="13" style="2" customWidth="1"/>
    <col min="8196" max="8213" width="11.28515625" style="2" bestFit="1" customWidth="1"/>
    <col min="8214" max="8448" width="9.140625" style="2"/>
    <col min="8449" max="8449" width="14.85546875" style="2" customWidth="1"/>
    <col min="8450" max="8450" width="13.28515625" style="2" customWidth="1"/>
    <col min="8451" max="8451" width="13" style="2" customWidth="1"/>
    <col min="8452" max="8469" width="11.28515625" style="2" bestFit="1" customWidth="1"/>
    <col min="8470" max="8704" width="9.140625" style="2"/>
    <col min="8705" max="8705" width="14.85546875" style="2" customWidth="1"/>
    <col min="8706" max="8706" width="13.28515625" style="2" customWidth="1"/>
    <col min="8707" max="8707" width="13" style="2" customWidth="1"/>
    <col min="8708" max="8725" width="11.28515625" style="2" bestFit="1" customWidth="1"/>
    <col min="8726" max="8960" width="9.140625" style="2"/>
    <col min="8961" max="8961" width="14.85546875" style="2" customWidth="1"/>
    <col min="8962" max="8962" width="13.28515625" style="2" customWidth="1"/>
    <col min="8963" max="8963" width="13" style="2" customWidth="1"/>
    <col min="8964" max="8981" width="11.28515625" style="2" bestFit="1" customWidth="1"/>
    <col min="8982" max="9216" width="9.140625" style="2"/>
    <col min="9217" max="9217" width="14.85546875" style="2" customWidth="1"/>
    <col min="9218" max="9218" width="13.28515625" style="2" customWidth="1"/>
    <col min="9219" max="9219" width="13" style="2" customWidth="1"/>
    <col min="9220" max="9237" width="11.28515625" style="2" bestFit="1" customWidth="1"/>
    <col min="9238" max="9472" width="9.140625" style="2"/>
    <col min="9473" max="9473" width="14.85546875" style="2" customWidth="1"/>
    <col min="9474" max="9474" width="13.28515625" style="2" customWidth="1"/>
    <col min="9475" max="9475" width="13" style="2" customWidth="1"/>
    <col min="9476" max="9493" width="11.28515625" style="2" bestFit="1" customWidth="1"/>
    <col min="9494" max="9728" width="9.140625" style="2"/>
    <col min="9729" max="9729" width="14.85546875" style="2" customWidth="1"/>
    <col min="9730" max="9730" width="13.28515625" style="2" customWidth="1"/>
    <col min="9731" max="9731" width="13" style="2" customWidth="1"/>
    <col min="9732" max="9749" width="11.28515625" style="2" bestFit="1" customWidth="1"/>
    <col min="9750" max="9984" width="9.140625" style="2"/>
    <col min="9985" max="9985" width="14.85546875" style="2" customWidth="1"/>
    <col min="9986" max="9986" width="13.28515625" style="2" customWidth="1"/>
    <col min="9987" max="9987" width="13" style="2" customWidth="1"/>
    <col min="9988" max="10005" width="11.28515625" style="2" bestFit="1" customWidth="1"/>
    <col min="10006" max="10240" width="9.140625" style="2"/>
    <col min="10241" max="10241" width="14.85546875" style="2" customWidth="1"/>
    <col min="10242" max="10242" width="13.28515625" style="2" customWidth="1"/>
    <col min="10243" max="10243" width="13" style="2" customWidth="1"/>
    <col min="10244" max="10261" width="11.28515625" style="2" bestFit="1" customWidth="1"/>
    <col min="10262" max="10496" width="9.140625" style="2"/>
    <col min="10497" max="10497" width="14.85546875" style="2" customWidth="1"/>
    <col min="10498" max="10498" width="13.28515625" style="2" customWidth="1"/>
    <col min="10499" max="10499" width="13" style="2" customWidth="1"/>
    <col min="10500" max="10517" width="11.28515625" style="2" bestFit="1" customWidth="1"/>
    <col min="10518" max="10752" width="9.140625" style="2"/>
    <col min="10753" max="10753" width="14.85546875" style="2" customWidth="1"/>
    <col min="10754" max="10754" width="13.28515625" style="2" customWidth="1"/>
    <col min="10755" max="10755" width="13" style="2" customWidth="1"/>
    <col min="10756" max="10773" width="11.28515625" style="2" bestFit="1" customWidth="1"/>
    <col min="10774" max="11008" width="9.140625" style="2"/>
    <col min="11009" max="11009" width="14.85546875" style="2" customWidth="1"/>
    <col min="11010" max="11010" width="13.28515625" style="2" customWidth="1"/>
    <col min="11011" max="11011" width="13" style="2" customWidth="1"/>
    <col min="11012" max="11029" width="11.28515625" style="2" bestFit="1" customWidth="1"/>
    <col min="11030" max="11264" width="9.140625" style="2"/>
    <col min="11265" max="11265" width="14.85546875" style="2" customWidth="1"/>
    <col min="11266" max="11266" width="13.28515625" style="2" customWidth="1"/>
    <col min="11267" max="11267" width="13" style="2" customWidth="1"/>
    <col min="11268" max="11285" width="11.28515625" style="2" bestFit="1" customWidth="1"/>
    <col min="11286" max="11520" width="9.140625" style="2"/>
    <col min="11521" max="11521" width="14.85546875" style="2" customWidth="1"/>
    <col min="11522" max="11522" width="13.28515625" style="2" customWidth="1"/>
    <col min="11523" max="11523" width="13" style="2" customWidth="1"/>
    <col min="11524" max="11541" width="11.28515625" style="2" bestFit="1" customWidth="1"/>
    <col min="11542" max="11776" width="9.140625" style="2"/>
    <col min="11777" max="11777" width="14.85546875" style="2" customWidth="1"/>
    <col min="11778" max="11778" width="13.28515625" style="2" customWidth="1"/>
    <col min="11779" max="11779" width="13" style="2" customWidth="1"/>
    <col min="11780" max="11797" width="11.28515625" style="2" bestFit="1" customWidth="1"/>
    <col min="11798" max="12032" width="9.140625" style="2"/>
    <col min="12033" max="12033" width="14.85546875" style="2" customWidth="1"/>
    <col min="12034" max="12034" width="13.28515625" style="2" customWidth="1"/>
    <col min="12035" max="12035" width="13" style="2" customWidth="1"/>
    <col min="12036" max="12053" width="11.28515625" style="2" bestFit="1" customWidth="1"/>
    <col min="12054" max="12288" width="9.140625" style="2"/>
    <col min="12289" max="12289" width="14.85546875" style="2" customWidth="1"/>
    <col min="12290" max="12290" width="13.28515625" style="2" customWidth="1"/>
    <col min="12291" max="12291" width="13" style="2" customWidth="1"/>
    <col min="12292" max="12309" width="11.28515625" style="2" bestFit="1" customWidth="1"/>
    <col min="12310" max="12544" width="9.140625" style="2"/>
    <col min="12545" max="12545" width="14.85546875" style="2" customWidth="1"/>
    <col min="12546" max="12546" width="13.28515625" style="2" customWidth="1"/>
    <col min="12547" max="12547" width="13" style="2" customWidth="1"/>
    <col min="12548" max="12565" width="11.28515625" style="2" bestFit="1" customWidth="1"/>
    <col min="12566" max="12800" width="9.140625" style="2"/>
    <col min="12801" max="12801" width="14.85546875" style="2" customWidth="1"/>
    <col min="12802" max="12802" width="13.28515625" style="2" customWidth="1"/>
    <col min="12803" max="12803" width="13" style="2" customWidth="1"/>
    <col min="12804" max="12821" width="11.28515625" style="2" bestFit="1" customWidth="1"/>
    <col min="12822" max="13056" width="9.140625" style="2"/>
    <col min="13057" max="13057" width="14.85546875" style="2" customWidth="1"/>
    <col min="13058" max="13058" width="13.28515625" style="2" customWidth="1"/>
    <col min="13059" max="13059" width="13" style="2" customWidth="1"/>
    <col min="13060" max="13077" width="11.28515625" style="2" bestFit="1" customWidth="1"/>
    <col min="13078" max="13312" width="9.140625" style="2"/>
    <col min="13313" max="13313" width="14.85546875" style="2" customWidth="1"/>
    <col min="13314" max="13314" width="13.28515625" style="2" customWidth="1"/>
    <col min="13315" max="13315" width="13" style="2" customWidth="1"/>
    <col min="13316" max="13333" width="11.28515625" style="2" bestFit="1" customWidth="1"/>
    <col min="13334" max="13568" width="9.140625" style="2"/>
    <col min="13569" max="13569" width="14.85546875" style="2" customWidth="1"/>
    <col min="13570" max="13570" width="13.28515625" style="2" customWidth="1"/>
    <col min="13571" max="13571" width="13" style="2" customWidth="1"/>
    <col min="13572" max="13589" width="11.28515625" style="2" bestFit="1" customWidth="1"/>
    <col min="13590" max="13824" width="9.140625" style="2"/>
    <col min="13825" max="13825" width="14.85546875" style="2" customWidth="1"/>
    <col min="13826" max="13826" width="13.28515625" style="2" customWidth="1"/>
    <col min="13827" max="13827" width="13" style="2" customWidth="1"/>
    <col min="13828" max="13845" width="11.28515625" style="2" bestFit="1" customWidth="1"/>
    <col min="13846" max="14080" width="9.140625" style="2"/>
    <col min="14081" max="14081" width="14.85546875" style="2" customWidth="1"/>
    <col min="14082" max="14082" width="13.28515625" style="2" customWidth="1"/>
    <col min="14083" max="14083" width="13" style="2" customWidth="1"/>
    <col min="14084" max="14101" width="11.28515625" style="2" bestFit="1" customWidth="1"/>
    <col min="14102" max="14336" width="9.140625" style="2"/>
    <col min="14337" max="14337" width="14.85546875" style="2" customWidth="1"/>
    <col min="14338" max="14338" width="13.28515625" style="2" customWidth="1"/>
    <col min="14339" max="14339" width="13" style="2" customWidth="1"/>
    <col min="14340" max="14357" width="11.28515625" style="2" bestFit="1" customWidth="1"/>
    <col min="14358" max="14592" width="9.140625" style="2"/>
    <col min="14593" max="14593" width="14.85546875" style="2" customWidth="1"/>
    <col min="14594" max="14594" width="13.28515625" style="2" customWidth="1"/>
    <col min="14595" max="14595" width="13" style="2" customWidth="1"/>
    <col min="14596" max="14613" width="11.28515625" style="2" bestFit="1" customWidth="1"/>
    <col min="14614" max="14848" width="9.140625" style="2"/>
    <col min="14849" max="14849" width="14.85546875" style="2" customWidth="1"/>
    <col min="14850" max="14850" width="13.28515625" style="2" customWidth="1"/>
    <col min="14851" max="14851" width="13" style="2" customWidth="1"/>
    <col min="14852" max="14869" width="11.28515625" style="2" bestFit="1" customWidth="1"/>
    <col min="14870" max="15104" width="9.140625" style="2"/>
    <col min="15105" max="15105" width="14.85546875" style="2" customWidth="1"/>
    <col min="15106" max="15106" width="13.28515625" style="2" customWidth="1"/>
    <col min="15107" max="15107" width="13" style="2" customWidth="1"/>
    <col min="15108" max="15125" width="11.28515625" style="2" bestFit="1" customWidth="1"/>
    <col min="15126" max="15360" width="9.140625" style="2"/>
    <col min="15361" max="15361" width="14.85546875" style="2" customWidth="1"/>
    <col min="15362" max="15362" width="13.28515625" style="2" customWidth="1"/>
    <col min="15363" max="15363" width="13" style="2" customWidth="1"/>
    <col min="15364" max="15381" width="11.28515625" style="2" bestFit="1" customWidth="1"/>
    <col min="15382" max="15616" width="9.140625" style="2"/>
    <col min="15617" max="15617" width="14.85546875" style="2" customWidth="1"/>
    <col min="15618" max="15618" width="13.28515625" style="2" customWidth="1"/>
    <col min="15619" max="15619" width="13" style="2" customWidth="1"/>
    <col min="15620" max="15637" width="11.28515625" style="2" bestFit="1" customWidth="1"/>
    <col min="15638" max="15872" width="9.140625" style="2"/>
    <col min="15873" max="15873" width="14.85546875" style="2" customWidth="1"/>
    <col min="15874" max="15874" width="13.28515625" style="2" customWidth="1"/>
    <col min="15875" max="15875" width="13" style="2" customWidth="1"/>
    <col min="15876" max="15893" width="11.28515625" style="2" bestFit="1" customWidth="1"/>
    <col min="15894" max="16128" width="9.140625" style="2"/>
    <col min="16129" max="16129" width="14.85546875" style="2" customWidth="1"/>
    <col min="16130" max="16130" width="13.28515625" style="2" customWidth="1"/>
    <col min="16131" max="16131" width="13" style="2" customWidth="1"/>
    <col min="16132" max="16149" width="11.28515625" style="2" bestFit="1" customWidth="1"/>
    <col min="16150" max="16384" width="9.140625" style="2"/>
  </cols>
  <sheetData>
    <row r="1" spans="1:32" s="1" customFormat="1" x14ac:dyDescent="0.25">
      <c r="A1" s="10" t="s">
        <v>0</v>
      </c>
      <c r="B1" s="11">
        <v>1984</v>
      </c>
      <c r="C1" s="11">
        <v>1985</v>
      </c>
      <c r="D1" s="11">
        <v>1986</v>
      </c>
      <c r="E1" s="11">
        <v>1987</v>
      </c>
      <c r="F1" s="11">
        <v>1988</v>
      </c>
      <c r="G1" s="11">
        <v>1989</v>
      </c>
      <c r="H1" s="11">
        <v>1990</v>
      </c>
      <c r="I1" s="11">
        <v>1991</v>
      </c>
      <c r="J1" s="11">
        <v>1992</v>
      </c>
      <c r="K1" s="11">
        <v>1993</v>
      </c>
      <c r="L1" s="11">
        <v>1994</v>
      </c>
      <c r="M1" s="11">
        <v>1995</v>
      </c>
      <c r="N1" s="11">
        <v>1996</v>
      </c>
      <c r="O1" s="11">
        <v>1997</v>
      </c>
      <c r="P1" s="11">
        <v>1998</v>
      </c>
      <c r="Q1" s="11">
        <v>1999</v>
      </c>
      <c r="R1" s="11">
        <v>2000</v>
      </c>
      <c r="S1" s="11">
        <v>2001</v>
      </c>
      <c r="T1" s="11">
        <v>2002</v>
      </c>
      <c r="U1" s="11">
        <v>2003</v>
      </c>
      <c r="V1" s="11">
        <v>2004</v>
      </c>
      <c r="W1" s="11">
        <v>2005</v>
      </c>
      <c r="X1" s="11">
        <v>2006</v>
      </c>
      <c r="Y1" s="11">
        <v>2007</v>
      </c>
      <c r="Z1" s="11">
        <v>2008</v>
      </c>
      <c r="AA1" s="11">
        <v>2009</v>
      </c>
      <c r="AB1" s="11">
        <v>2010</v>
      </c>
      <c r="AC1" s="11">
        <v>2011</v>
      </c>
      <c r="AD1" s="11">
        <v>2012</v>
      </c>
      <c r="AE1" s="11">
        <v>2013</v>
      </c>
      <c r="AF1" s="11">
        <v>2014</v>
      </c>
    </row>
    <row r="2" spans="1:32" x14ac:dyDescent="0.25">
      <c r="A2" s="5" t="s">
        <v>1</v>
      </c>
      <c r="B2" s="4">
        <v>73.7</v>
      </c>
      <c r="C2" s="4">
        <v>70.400000000000006</v>
      </c>
      <c r="D2" s="4">
        <v>70.3</v>
      </c>
      <c r="E2" s="4">
        <v>67.900000000000006</v>
      </c>
      <c r="F2" s="4">
        <v>66.5</v>
      </c>
      <c r="G2" s="4">
        <v>67.599999999999994</v>
      </c>
      <c r="H2" s="6">
        <v>68.400000000000006</v>
      </c>
      <c r="I2" s="4">
        <v>69.900000000000006</v>
      </c>
      <c r="J2" s="4">
        <v>70.3</v>
      </c>
      <c r="K2" s="4">
        <v>70.2</v>
      </c>
      <c r="L2" s="4">
        <v>68.5</v>
      </c>
      <c r="M2" s="4">
        <v>70.099999999999994</v>
      </c>
      <c r="N2" s="6">
        <v>71</v>
      </c>
      <c r="O2" s="3">
        <v>71.3</v>
      </c>
      <c r="P2" s="3">
        <v>72.900000000000006</v>
      </c>
      <c r="Q2" s="3">
        <v>74.8</v>
      </c>
      <c r="R2" s="3">
        <v>73.2</v>
      </c>
      <c r="S2" s="4">
        <v>73.2</v>
      </c>
      <c r="T2" s="4">
        <v>73.7</v>
      </c>
      <c r="U2" s="4">
        <v>76.2</v>
      </c>
      <c r="V2" s="8">
        <v>78</v>
      </c>
      <c r="W2" s="9">
        <v>76.599999999999994</v>
      </c>
      <c r="X2" s="7">
        <v>74.2</v>
      </c>
      <c r="Y2" s="7">
        <v>73.3</v>
      </c>
      <c r="Z2" s="7">
        <v>73</v>
      </c>
      <c r="AA2" s="4">
        <v>74.075000000000003</v>
      </c>
      <c r="AB2" s="4">
        <v>73.225000000000009</v>
      </c>
      <c r="AC2" s="4">
        <v>72.95</v>
      </c>
      <c r="AD2" s="4">
        <v>71.949999999999989</v>
      </c>
      <c r="AE2" s="4">
        <v>72.724999999999994</v>
      </c>
      <c r="AF2" s="4">
        <v>72.125</v>
      </c>
    </row>
    <row r="3" spans="1:32" x14ac:dyDescent="0.25">
      <c r="A3" s="5" t="s">
        <v>2</v>
      </c>
      <c r="B3" s="4">
        <v>57.6</v>
      </c>
      <c r="C3" s="4">
        <v>61.2</v>
      </c>
      <c r="D3" s="4">
        <v>61.5</v>
      </c>
      <c r="E3" s="4">
        <v>59.7</v>
      </c>
      <c r="F3" s="4">
        <v>57</v>
      </c>
      <c r="G3" s="6">
        <v>58.7</v>
      </c>
      <c r="H3" s="4">
        <v>58.4</v>
      </c>
      <c r="I3" s="4">
        <v>57.1</v>
      </c>
      <c r="J3" s="4">
        <v>55.5</v>
      </c>
      <c r="K3" s="4">
        <v>55.4</v>
      </c>
      <c r="L3" s="4">
        <v>58.8</v>
      </c>
      <c r="M3" s="4">
        <v>60.9</v>
      </c>
      <c r="N3" s="6">
        <v>62.9</v>
      </c>
      <c r="O3" s="3">
        <v>67.2</v>
      </c>
      <c r="P3" s="3">
        <v>66.3</v>
      </c>
      <c r="Q3" s="3">
        <v>66.400000000000006</v>
      </c>
      <c r="R3" s="3">
        <v>66.400000000000006</v>
      </c>
      <c r="S3" s="4">
        <v>65.3</v>
      </c>
      <c r="T3" s="4">
        <v>67.099999999999994</v>
      </c>
      <c r="U3" s="4">
        <v>70</v>
      </c>
      <c r="V3" s="8">
        <v>67.2</v>
      </c>
      <c r="W3" s="9">
        <v>66</v>
      </c>
      <c r="X3" s="7">
        <v>67.2</v>
      </c>
      <c r="Y3" s="7">
        <v>66.599999999999994</v>
      </c>
      <c r="Z3" s="7">
        <v>66.400000000000006</v>
      </c>
      <c r="AA3" s="4">
        <v>66.8</v>
      </c>
      <c r="AB3" s="4">
        <v>65.674999999999997</v>
      </c>
      <c r="AC3" s="4">
        <v>64.349999999999994</v>
      </c>
      <c r="AD3" s="4">
        <v>63.724999999999994</v>
      </c>
      <c r="AE3" s="4">
        <v>64.575000000000003</v>
      </c>
      <c r="AF3" s="4">
        <v>64.925000000000011</v>
      </c>
    </row>
    <row r="4" spans="1:32" x14ac:dyDescent="0.25">
      <c r="A4" s="5" t="s">
        <v>3</v>
      </c>
      <c r="B4" s="4">
        <v>65.2</v>
      </c>
      <c r="C4" s="4">
        <v>64.7</v>
      </c>
      <c r="D4" s="4">
        <v>62.5</v>
      </c>
      <c r="E4" s="4">
        <v>63.3</v>
      </c>
      <c r="F4" s="4">
        <v>66.099999999999994</v>
      </c>
      <c r="G4" s="6">
        <v>63.9</v>
      </c>
      <c r="H4" s="4">
        <v>64.5</v>
      </c>
      <c r="I4" s="4">
        <v>66.3</v>
      </c>
      <c r="J4" s="4">
        <v>69.3</v>
      </c>
      <c r="K4" s="4">
        <v>69.099999999999994</v>
      </c>
      <c r="L4" s="4">
        <v>67.7</v>
      </c>
      <c r="M4" s="4">
        <v>62.9</v>
      </c>
      <c r="N4" s="6">
        <v>62</v>
      </c>
      <c r="O4" s="3">
        <v>63</v>
      </c>
      <c r="P4" s="3">
        <v>64.3</v>
      </c>
      <c r="Q4" s="3">
        <v>66.3</v>
      </c>
      <c r="R4" s="3">
        <v>68</v>
      </c>
      <c r="S4" s="4">
        <v>68.099999999999994</v>
      </c>
      <c r="T4" s="4">
        <v>65.599999999999994</v>
      </c>
      <c r="U4" s="4">
        <v>67</v>
      </c>
      <c r="V4" s="8">
        <v>68.7</v>
      </c>
      <c r="W4" s="9">
        <v>71.099999999999994</v>
      </c>
      <c r="X4" s="7">
        <v>71.599999999999994</v>
      </c>
      <c r="Y4" s="7">
        <v>70.400000000000006</v>
      </c>
      <c r="Z4" s="7">
        <v>69.099999999999994</v>
      </c>
      <c r="AA4" s="4">
        <v>68.95</v>
      </c>
      <c r="AB4" s="4">
        <v>66.625</v>
      </c>
      <c r="AC4" s="4">
        <v>66</v>
      </c>
      <c r="AD4" s="4">
        <v>65.275000000000006</v>
      </c>
      <c r="AE4" s="4">
        <v>65.150000000000006</v>
      </c>
      <c r="AF4" s="4">
        <v>63.5</v>
      </c>
    </row>
    <row r="5" spans="1:32" x14ac:dyDescent="0.25">
      <c r="A5" s="5" t="s">
        <v>4</v>
      </c>
      <c r="B5" s="4">
        <v>65.900000000000006</v>
      </c>
      <c r="C5" s="4">
        <v>66.599999999999994</v>
      </c>
      <c r="D5" s="4">
        <v>67.5</v>
      </c>
      <c r="E5" s="4">
        <v>68.099999999999994</v>
      </c>
      <c r="F5" s="4">
        <v>67</v>
      </c>
      <c r="G5" s="6">
        <v>66.3</v>
      </c>
      <c r="H5" s="4">
        <v>67.8</v>
      </c>
      <c r="I5" s="4">
        <v>68.599999999999994</v>
      </c>
      <c r="J5" s="4">
        <v>70.3</v>
      </c>
      <c r="K5" s="4">
        <v>70.5</v>
      </c>
      <c r="L5" s="4">
        <v>68.099999999999994</v>
      </c>
      <c r="M5" s="4">
        <v>67.2</v>
      </c>
      <c r="N5" s="6">
        <v>66.599999999999994</v>
      </c>
      <c r="O5" s="3">
        <v>66.7</v>
      </c>
      <c r="P5" s="3">
        <v>66.7</v>
      </c>
      <c r="Q5" s="3">
        <v>65.599999999999994</v>
      </c>
      <c r="R5" s="3">
        <v>68.900000000000006</v>
      </c>
      <c r="S5" s="4">
        <v>71.2</v>
      </c>
      <c r="T5" s="4">
        <v>70.3</v>
      </c>
      <c r="U5" s="4">
        <v>69.599999999999994</v>
      </c>
      <c r="V5" s="8">
        <v>69.099999999999994</v>
      </c>
      <c r="W5" s="9">
        <v>69.2</v>
      </c>
      <c r="X5" s="7">
        <v>70.8</v>
      </c>
      <c r="Y5" s="7">
        <v>69.5</v>
      </c>
      <c r="Z5" s="7">
        <v>68.900000000000006</v>
      </c>
      <c r="AA5" s="4">
        <v>68.525000000000006</v>
      </c>
      <c r="AB5" s="4">
        <v>67.849999999999994</v>
      </c>
      <c r="AC5" s="4">
        <v>67.525000000000006</v>
      </c>
      <c r="AD5" s="4">
        <v>66</v>
      </c>
      <c r="AE5" s="4">
        <v>65.375</v>
      </c>
      <c r="AF5" s="4">
        <v>65.449999999999989</v>
      </c>
    </row>
    <row r="6" spans="1:32" x14ac:dyDescent="0.25">
      <c r="A6" s="5" t="s">
        <v>5</v>
      </c>
      <c r="B6" s="4">
        <v>53.7</v>
      </c>
      <c r="C6" s="4">
        <v>54.2</v>
      </c>
      <c r="D6" s="4">
        <v>53.8</v>
      </c>
      <c r="E6" s="4">
        <v>54.3</v>
      </c>
      <c r="F6" s="4">
        <v>54.4</v>
      </c>
      <c r="G6" s="6">
        <v>53.6</v>
      </c>
      <c r="H6" s="4">
        <v>53.8</v>
      </c>
      <c r="I6" s="4">
        <v>54.5</v>
      </c>
      <c r="J6" s="4">
        <v>55.3</v>
      </c>
      <c r="K6" s="4">
        <v>56</v>
      </c>
      <c r="L6" s="4">
        <v>55.5</v>
      </c>
      <c r="M6" s="4">
        <v>55.4</v>
      </c>
      <c r="N6" s="6">
        <v>55</v>
      </c>
      <c r="O6" s="3">
        <v>55.7</v>
      </c>
      <c r="P6" s="3">
        <v>56</v>
      </c>
      <c r="Q6" s="3">
        <v>55.7</v>
      </c>
      <c r="R6" s="3">
        <v>57.1</v>
      </c>
      <c r="S6" s="4">
        <v>58.2</v>
      </c>
      <c r="T6" s="4">
        <v>57.7</v>
      </c>
      <c r="U6" s="4">
        <v>58.9</v>
      </c>
      <c r="V6" s="8">
        <v>59.7</v>
      </c>
      <c r="W6" s="9">
        <v>59.7</v>
      </c>
      <c r="X6" s="7">
        <v>60.2</v>
      </c>
      <c r="Y6" s="7">
        <v>58.3</v>
      </c>
      <c r="Z6" s="7">
        <v>57.5</v>
      </c>
      <c r="AA6" s="4">
        <v>56.95</v>
      </c>
      <c r="AB6" s="4">
        <v>56.1</v>
      </c>
      <c r="AC6" s="4">
        <v>55.3</v>
      </c>
      <c r="AD6" s="4">
        <v>54.524999999999999</v>
      </c>
      <c r="AE6" s="4">
        <v>54.3</v>
      </c>
      <c r="AF6" s="4">
        <v>54.224999999999994</v>
      </c>
    </row>
    <row r="7" spans="1:32" x14ac:dyDescent="0.25">
      <c r="A7" s="5" t="s">
        <v>6</v>
      </c>
      <c r="B7" s="4">
        <v>64.7</v>
      </c>
      <c r="C7" s="4">
        <v>63.6</v>
      </c>
      <c r="D7" s="4">
        <v>63.7</v>
      </c>
      <c r="E7" s="4">
        <v>61.8</v>
      </c>
      <c r="F7" s="4">
        <v>60.1</v>
      </c>
      <c r="G7" s="6">
        <v>58.6</v>
      </c>
      <c r="H7" s="4">
        <v>59</v>
      </c>
      <c r="I7" s="4">
        <v>59.8</v>
      </c>
      <c r="J7" s="4">
        <v>60.9</v>
      </c>
      <c r="K7" s="4">
        <v>61.8</v>
      </c>
      <c r="L7" s="4">
        <v>62.9</v>
      </c>
      <c r="M7" s="4">
        <v>64.599999999999994</v>
      </c>
      <c r="N7" s="6">
        <v>64.5</v>
      </c>
      <c r="O7" s="3">
        <v>64.099999999999994</v>
      </c>
      <c r="P7" s="3">
        <v>65.2</v>
      </c>
      <c r="Q7" s="3">
        <v>68.099999999999994</v>
      </c>
      <c r="R7" s="3">
        <v>68.3</v>
      </c>
      <c r="S7" s="4">
        <v>68.5</v>
      </c>
      <c r="T7" s="4">
        <v>68.900000000000006</v>
      </c>
      <c r="U7" s="4">
        <v>71.3</v>
      </c>
      <c r="V7" s="8">
        <v>71.099999999999994</v>
      </c>
      <c r="W7" s="9">
        <v>71</v>
      </c>
      <c r="X7" s="7">
        <v>70.099999999999994</v>
      </c>
      <c r="Y7" s="7">
        <v>70.2</v>
      </c>
      <c r="Z7" s="7">
        <v>69</v>
      </c>
      <c r="AA7" s="4">
        <v>68.474999999999994</v>
      </c>
      <c r="AB7" s="4">
        <v>68.525000000000006</v>
      </c>
      <c r="AC7" s="4">
        <v>65.875</v>
      </c>
      <c r="AD7" s="4">
        <v>65.3</v>
      </c>
      <c r="AE7" s="4">
        <v>64.45</v>
      </c>
      <c r="AF7" s="4">
        <v>65</v>
      </c>
    </row>
    <row r="8" spans="1:32" x14ac:dyDescent="0.25">
      <c r="A8" s="5" t="s">
        <v>7</v>
      </c>
      <c r="B8" s="4">
        <v>67.8</v>
      </c>
      <c r="C8" s="4">
        <v>69</v>
      </c>
      <c r="D8" s="4">
        <v>68.099999999999994</v>
      </c>
      <c r="E8" s="4">
        <v>67</v>
      </c>
      <c r="F8" s="4">
        <v>66.5</v>
      </c>
      <c r="G8" s="6">
        <v>66.400000000000006</v>
      </c>
      <c r="H8" s="4">
        <v>67.900000000000006</v>
      </c>
      <c r="I8" s="4">
        <v>65.5</v>
      </c>
      <c r="J8" s="4">
        <v>66.099999999999994</v>
      </c>
      <c r="K8" s="4">
        <v>64.5</v>
      </c>
      <c r="L8" s="4">
        <v>63.8</v>
      </c>
      <c r="M8" s="4">
        <v>68.2</v>
      </c>
      <c r="N8" s="6">
        <v>69</v>
      </c>
      <c r="O8" s="3">
        <v>68.099999999999994</v>
      </c>
      <c r="P8" s="3">
        <v>69.3</v>
      </c>
      <c r="Q8" s="3">
        <v>69.099999999999994</v>
      </c>
      <c r="R8" s="3">
        <v>70</v>
      </c>
      <c r="S8" s="4">
        <v>71.8</v>
      </c>
      <c r="T8" s="4">
        <v>71.5</v>
      </c>
      <c r="U8" s="4">
        <v>73</v>
      </c>
      <c r="V8" s="8">
        <v>71.7</v>
      </c>
      <c r="W8" s="9">
        <v>70.5</v>
      </c>
      <c r="X8" s="7">
        <v>71.099999999999994</v>
      </c>
      <c r="Y8" s="7">
        <v>70.3</v>
      </c>
      <c r="Z8" s="7">
        <v>70.7</v>
      </c>
      <c r="AA8" s="4">
        <v>70.525000000000006</v>
      </c>
      <c r="AB8" s="4">
        <v>70.800000000000011</v>
      </c>
      <c r="AC8" s="4">
        <v>70.625</v>
      </c>
      <c r="AD8" s="4">
        <v>68.825000000000003</v>
      </c>
      <c r="AE8" s="4">
        <v>68.449999999999989</v>
      </c>
      <c r="AF8" s="4">
        <v>67.375</v>
      </c>
    </row>
    <row r="9" spans="1:32" x14ac:dyDescent="0.25">
      <c r="A9" s="5" t="s">
        <v>8</v>
      </c>
      <c r="B9" s="4">
        <v>70.400000000000006</v>
      </c>
      <c r="C9" s="4">
        <v>70.3</v>
      </c>
      <c r="D9" s="4">
        <v>71</v>
      </c>
      <c r="E9" s="4">
        <v>71.099999999999994</v>
      </c>
      <c r="F9" s="4">
        <v>70.099999999999994</v>
      </c>
      <c r="G9" s="6">
        <v>68.7</v>
      </c>
      <c r="H9" s="4">
        <v>67.7</v>
      </c>
      <c r="I9" s="4">
        <v>70.2</v>
      </c>
      <c r="J9" s="4">
        <v>73.8</v>
      </c>
      <c r="K9" s="4">
        <v>74.099999999999994</v>
      </c>
      <c r="L9" s="4">
        <v>70.5</v>
      </c>
      <c r="M9" s="4">
        <v>71.7</v>
      </c>
      <c r="N9" s="6">
        <v>71.5</v>
      </c>
      <c r="O9" s="3">
        <v>69.2</v>
      </c>
      <c r="P9" s="3">
        <v>71</v>
      </c>
      <c r="Q9" s="3">
        <v>71.599999999999994</v>
      </c>
      <c r="R9" s="3">
        <v>72</v>
      </c>
      <c r="S9" s="4">
        <v>75.400000000000006</v>
      </c>
      <c r="T9" s="4">
        <v>75.599999999999994</v>
      </c>
      <c r="U9" s="4">
        <v>77.2</v>
      </c>
      <c r="V9" s="8">
        <v>77.3</v>
      </c>
      <c r="W9" s="9">
        <v>75.8</v>
      </c>
      <c r="X9" s="7">
        <v>76.8</v>
      </c>
      <c r="Y9" s="7">
        <v>76.8</v>
      </c>
      <c r="Z9" s="7">
        <v>76.2</v>
      </c>
      <c r="AA9" s="4">
        <v>76.474999999999994</v>
      </c>
      <c r="AB9" s="4">
        <v>74.7</v>
      </c>
      <c r="AC9" s="4">
        <v>74.150000000000006</v>
      </c>
      <c r="AD9" s="4">
        <v>73.45</v>
      </c>
      <c r="AE9" s="4">
        <v>74.149999999999991</v>
      </c>
      <c r="AF9" s="4">
        <v>74.3</v>
      </c>
    </row>
    <row r="10" spans="1:32" x14ac:dyDescent="0.25">
      <c r="A10" s="5" t="s">
        <v>9</v>
      </c>
      <c r="B10" s="4">
        <v>37.299999999999997</v>
      </c>
      <c r="C10" s="4">
        <v>37.4</v>
      </c>
      <c r="D10" s="4">
        <v>34.6</v>
      </c>
      <c r="E10" s="4">
        <v>35.799999999999997</v>
      </c>
      <c r="F10" s="4">
        <v>37.5</v>
      </c>
      <c r="G10" s="6">
        <v>38.700000000000003</v>
      </c>
      <c r="H10" s="4">
        <v>36.4</v>
      </c>
      <c r="I10" s="4">
        <v>35.1</v>
      </c>
      <c r="J10" s="4">
        <v>35</v>
      </c>
      <c r="K10" s="4">
        <v>35.700000000000003</v>
      </c>
      <c r="L10" s="4">
        <v>37.799999999999997</v>
      </c>
      <c r="M10" s="4">
        <v>39.200000000000003</v>
      </c>
      <c r="N10" s="6">
        <v>40.4</v>
      </c>
      <c r="O10" s="3">
        <v>42.5</v>
      </c>
      <c r="P10" s="3">
        <v>40.299999999999997</v>
      </c>
      <c r="Q10" s="3">
        <v>40</v>
      </c>
      <c r="R10" s="3">
        <v>41.9</v>
      </c>
      <c r="S10" s="4">
        <v>42.7</v>
      </c>
      <c r="T10" s="4">
        <v>44.1</v>
      </c>
      <c r="U10" s="4">
        <v>43</v>
      </c>
      <c r="V10" s="8">
        <v>45.6</v>
      </c>
      <c r="W10" s="9">
        <v>45.8</v>
      </c>
      <c r="X10" s="7">
        <v>45.9</v>
      </c>
      <c r="Y10" s="7">
        <v>47.2</v>
      </c>
      <c r="Z10" s="7">
        <v>44.1</v>
      </c>
      <c r="AA10" s="4">
        <v>44.9</v>
      </c>
      <c r="AB10" s="4">
        <v>45.625</v>
      </c>
      <c r="AC10" s="4">
        <v>44.825000000000003</v>
      </c>
      <c r="AD10" s="4">
        <v>44.974999999999994</v>
      </c>
      <c r="AE10" s="4">
        <v>44.575000000000003</v>
      </c>
      <c r="AF10" s="4">
        <v>41.525000000000006</v>
      </c>
    </row>
    <row r="11" spans="1:32" x14ac:dyDescent="0.25">
      <c r="A11" s="5" t="s">
        <v>10</v>
      </c>
      <c r="B11" s="4">
        <v>66.5</v>
      </c>
      <c r="C11" s="4">
        <v>67.2</v>
      </c>
      <c r="D11" s="4">
        <v>66.5</v>
      </c>
      <c r="E11" s="4">
        <v>66.3</v>
      </c>
      <c r="F11" s="4">
        <v>64.900000000000006</v>
      </c>
      <c r="G11" s="6">
        <v>64.400000000000006</v>
      </c>
      <c r="H11" s="4">
        <v>65.099999999999994</v>
      </c>
      <c r="I11" s="4">
        <v>66.099999999999994</v>
      </c>
      <c r="J11" s="4">
        <v>66</v>
      </c>
      <c r="K11" s="4">
        <v>65.5</v>
      </c>
      <c r="L11" s="4">
        <v>65.7</v>
      </c>
      <c r="M11" s="4">
        <v>66.599999999999994</v>
      </c>
      <c r="N11" s="6">
        <v>67.099999999999994</v>
      </c>
      <c r="O11" s="3">
        <v>66.900000000000006</v>
      </c>
      <c r="P11" s="3">
        <v>66.900000000000006</v>
      </c>
      <c r="Q11" s="3">
        <v>67.599999999999994</v>
      </c>
      <c r="R11" s="3">
        <v>68.400000000000006</v>
      </c>
      <c r="S11" s="4">
        <v>69.2</v>
      </c>
      <c r="T11" s="4">
        <v>68.7</v>
      </c>
      <c r="U11" s="4">
        <v>69.5</v>
      </c>
      <c r="V11" s="8">
        <v>72.2</v>
      </c>
      <c r="W11" s="9">
        <v>72.400000000000006</v>
      </c>
      <c r="X11" s="7">
        <v>72.400000000000006</v>
      </c>
      <c r="Y11" s="7">
        <v>71.8</v>
      </c>
      <c r="Z11" s="7">
        <v>71.099999999999994</v>
      </c>
      <c r="AA11" s="4">
        <v>70.900000000000006</v>
      </c>
      <c r="AB11" s="4">
        <v>69.224999999999994</v>
      </c>
      <c r="AC11" s="4">
        <v>68.975000000000009</v>
      </c>
      <c r="AD11" s="4">
        <v>67.024999999999991</v>
      </c>
      <c r="AE11" s="4">
        <v>66.150000000000006</v>
      </c>
      <c r="AF11" s="4">
        <v>64.849999999999994</v>
      </c>
    </row>
    <row r="12" spans="1:32" x14ac:dyDescent="0.25">
      <c r="A12" s="5" t="s">
        <v>11</v>
      </c>
      <c r="B12" s="4">
        <v>63.6</v>
      </c>
      <c r="C12" s="4">
        <v>62.7</v>
      </c>
      <c r="D12" s="4">
        <v>62.4</v>
      </c>
      <c r="E12" s="4">
        <v>63.9</v>
      </c>
      <c r="F12" s="4">
        <v>64.8</v>
      </c>
      <c r="G12" s="6">
        <v>64.7</v>
      </c>
      <c r="H12" s="4">
        <v>64.3</v>
      </c>
      <c r="I12" s="4">
        <v>65.7</v>
      </c>
      <c r="J12" s="4">
        <v>66.900000000000006</v>
      </c>
      <c r="K12" s="4">
        <v>66.5</v>
      </c>
      <c r="L12" s="4">
        <v>63.4</v>
      </c>
      <c r="M12" s="4">
        <v>66.599999999999994</v>
      </c>
      <c r="N12" s="6">
        <v>69.3</v>
      </c>
      <c r="O12" s="3">
        <v>70.900000000000006</v>
      </c>
      <c r="P12" s="3">
        <v>71.2</v>
      </c>
      <c r="Q12" s="3">
        <v>71.3</v>
      </c>
      <c r="R12" s="3">
        <v>69.8</v>
      </c>
      <c r="S12" s="4">
        <v>70.099999999999994</v>
      </c>
      <c r="T12" s="4">
        <v>71.8</v>
      </c>
      <c r="U12" s="4">
        <v>71.400000000000006</v>
      </c>
      <c r="V12" s="8">
        <v>70.900000000000006</v>
      </c>
      <c r="W12" s="9">
        <v>67.900000000000006</v>
      </c>
      <c r="X12" s="7">
        <v>68.5</v>
      </c>
      <c r="Y12" s="7">
        <v>67.599999999999994</v>
      </c>
      <c r="Z12" s="7">
        <v>68.2</v>
      </c>
      <c r="AA12" s="4">
        <v>67.375</v>
      </c>
      <c r="AB12" s="4">
        <v>67.099999999999994</v>
      </c>
      <c r="AC12" s="4">
        <v>66.225000000000009</v>
      </c>
      <c r="AD12" s="4">
        <v>64.325000000000003</v>
      </c>
      <c r="AE12" s="4">
        <v>64.224999999999994</v>
      </c>
      <c r="AF12" s="4">
        <v>62.949999999999996</v>
      </c>
    </row>
    <row r="13" spans="1:32" x14ac:dyDescent="0.25">
      <c r="A13" s="5" t="s">
        <v>12</v>
      </c>
      <c r="B13" s="4">
        <v>50.7</v>
      </c>
      <c r="C13" s="4">
        <v>51</v>
      </c>
      <c r="D13" s="4">
        <v>50.9</v>
      </c>
      <c r="E13" s="4">
        <v>50.7</v>
      </c>
      <c r="F13" s="4">
        <v>53.2</v>
      </c>
      <c r="G13" s="6">
        <v>54.7</v>
      </c>
      <c r="H13" s="4">
        <v>55.5</v>
      </c>
      <c r="I13" s="4">
        <v>55.2</v>
      </c>
      <c r="J13" s="4">
        <v>53.8</v>
      </c>
      <c r="K13" s="4">
        <v>52.8</v>
      </c>
      <c r="L13" s="4">
        <v>52.3</v>
      </c>
      <c r="M13" s="4">
        <v>50.2</v>
      </c>
      <c r="N13" s="6">
        <v>50.6</v>
      </c>
      <c r="O13" s="3">
        <v>50.2</v>
      </c>
      <c r="P13" s="3">
        <v>52.8</v>
      </c>
      <c r="Q13" s="3">
        <v>56.6</v>
      </c>
      <c r="R13" s="3">
        <v>55.2</v>
      </c>
      <c r="S13" s="4">
        <v>55.5</v>
      </c>
      <c r="T13" s="4">
        <v>57.9</v>
      </c>
      <c r="U13" s="4">
        <v>58.3</v>
      </c>
      <c r="V13" s="8">
        <v>60.6</v>
      </c>
      <c r="W13" s="9">
        <v>59.8</v>
      </c>
      <c r="X13" s="7">
        <v>59.9</v>
      </c>
      <c r="Y13" s="7">
        <v>60.1</v>
      </c>
      <c r="Z13" s="7">
        <v>59.1</v>
      </c>
      <c r="AA13" s="4">
        <v>59.500000000000007</v>
      </c>
      <c r="AB13" s="4">
        <v>56.050000000000004</v>
      </c>
      <c r="AC13" s="4">
        <v>55.449999999999996</v>
      </c>
      <c r="AD13" s="4">
        <v>57.224999999999994</v>
      </c>
      <c r="AE13" s="4">
        <v>57.349999999999994</v>
      </c>
      <c r="AF13" s="4">
        <v>58.449999999999996</v>
      </c>
    </row>
    <row r="14" spans="1:32" x14ac:dyDescent="0.25">
      <c r="A14" s="5" t="s">
        <v>13</v>
      </c>
      <c r="B14" s="4">
        <v>69.7</v>
      </c>
      <c r="C14" s="4">
        <v>71</v>
      </c>
      <c r="D14" s="4">
        <v>69.8</v>
      </c>
      <c r="E14" s="4">
        <v>71.599999999999994</v>
      </c>
      <c r="F14" s="4">
        <v>71.5</v>
      </c>
      <c r="G14" s="6">
        <v>70.2</v>
      </c>
      <c r="H14" s="4">
        <v>69.400000000000006</v>
      </c>
      <c r="I14" s="4">
        <v>68.400000000000006</v>
      </c>
      <c r="J14" s="4">
        <v>70.3</v>
      </c>
      <c r="K14" s="4">
        <v>72.099999999999994</v>
      </c>
      <c r="L14" s="4">
        <v>70.7</v>
      </c>
      <c r="M14" s="4">
        <v>72</v>
      </c>
      <c r="N14" s="6">
        <v>71.400000000000006</v>
      </c>
      <c r="O14" s="3">
        <v>72.3</v>
      </c>
      <c r="P14" s="3">
        <v>72.599999999999994</v>
      </c>
      <c r="Q14" s="3">
        <v>70.3</v>
      </c>
      <c r="R14" s="3">
        <v>70.5</v>
      </c>
      <c r="S14" s="4">
        <v>71.7</v>
      </c>
      <c r="T14" s="4">
        <v>73</v>
      </c>
      <c r="U14" s="4">
        <v>74.400000000000006</v>
      </c>
      <c r="V14" s="8">
        <v>73.7</v>
      </c>
      <c r="W14" s="9">
        <v>74.2</v>
      </c>
      <c r="X14" s="7">
        <v>75.099999999999994</v>
      </c>
      <c r="Y14" s="7">
        <v>74.5</v>
      </c>
      <c r="Z14" s="7">
        <v>75</v>
      </c>
      <c r="AA14" s="4">
        <v>75.424999999999997</v>
      </c>
      <c r="AB14" s="4">
        <v>72.349999999999994</v>
      </c>
      <c r="AC14" s="4">
        <v>72.45</v>
      </c>
      <c r="AD14" s="4">
        <v>73.025000000000006</v>
      </c>
      <c r="AE14" s="4">
        <v>71.55</v>
      </c>
      <c r="AF14" s="4">
        <v>69.550000000000011</v>
      </c>
    </row>
    <row r="15" spans="1:32" x14ac:dyDescent="0.25">
      <c r="A15" s="5" t="s">
        <v>14</v>
      </c>
      <c r="B15" s="4">
        <v>62.4</v>
      </c>
      <c r="C15" s="4">
        <v>60.6</v>
      </c>
      <c r="D15" s="4">
        <v>60.9</v>
      </c>
      <c r="E15" s="4">
        <v>61</v>
      </c>
      <c r="F15" s="4">
        <v>61.4</v>
      </c>
      <c r="G15" s="6">
        <v>61.9</v>
      </c>
      <c r="H15" s="4">
        <v>63</v>
      </c>
      <c r="I15" s="4">
        <v>63</v>
      </c>
      <c r="J15" s="4">
        <v>62.4</v>
      </c>
      <c r="K15" s="4">
        <v>61.8</v>
      </c>
      <c r="L15" s="4">
        <v>64.2</v>
      </c>
      <c r="M15" s="4">
        <v>66.400000000000006</v>
      </c>
      <c r="N15" s="6">
        <v>68.2</v>
      </c>
      <c r="O15" s="3">
        <v>68.099999999999994</v>
      </c>
      <c r="P15" s="3">
        <v>68</v>
      </c>
      <c r="Q15" s="3">
        <v>67.099999999999994</v>
      </c>
      <c r="R15" s="3">
        <v>67.900000000000006</v>
      </c>
      <c r="S15" s="4">
        <v>69.400000000000006</v>
      </c>
      <c r="T15" s="4">
        <v>70.099999999999994</v>
      </c>
      <c r="U15" s="4">
        <v>70.7</v>
      </c>
      <c r="V15" s="8">
        <v>72.7</v>
      </c>
      <c r="W15" s="9">
        <v>70.900000000000006</v>
      </c>
      <c r="X15" s="7">
        <v>70.400000000000006</v>
      </c>
      <c r="Y15" s="7">
        <v>69.400000000000006</v>
      </c>
      <c r="Z15" s="7">
        <v>68.900000000000006</v>
      </c>
      <c r="AA15" s="4">
        <v>69.125</v>
      </c>
      <c r="AB15" s="4">
        <v>68.75</v>
      </c>
      <c r="AC15" s="4">
        <v>68.400000000000006</v>
      </c>
      <c r="AD15" s="4">
        <v>66.849999999999994</v>
      </c>
      <c r="AE15" s="4">
        <v>67.174999999999997</v>
      </c>
      <c r="AF15" s="4">
        <v>66.424999999999997</v>
      </c>
    </row>
    <row r="16" spans="1:32" x14ac:dyDescent="0.25">
      <c r="A16" s="5" t="s">
        <v>15</v>
      </c>
      <c r="B16" s="4">
        <v>69.900000000000006</v>
      </c>
      <c r="C16" s="4">
        <v>67.599999999999994</v>
      </c>
      <c r="D16" s="4">
        <v>67.599999999999994</v>
      </c>
      <c r="E16" s="4">
        <v>69.099999999999994</v>
      </c>
      <c r="F16" s="4">
        <v>68.3</v>
      </c>
      <c r="G16" s="6">
        <v>68.2</v>
      </c>
      <c r="H16" s="4">
        <v>67</v>
      </c>
      <c r="I16" s="4">
        <v>66.099999999999994</v>
      </c>
      <c r="J16" s="4">
        <v>67.599999999999994</v>
      </c>
      <c r="K16" s="4">
        <v>68.7</v>
      </c>
      <c r="L16" s="4">
        <v>68.400000000000006</v>
      </c>
      <c r="M16" s="4">
        <v>71</v>
      </c>
      <c r="N16" s="6">
        <v>74.2</v>
      </c>
      <c r="O16" s="3">
        <v>74.099999999999994</v>
      </c>
      <c r="P16" s="3">
        <v>72.599999999999994</v>
      </c>
      <c r="Q16" s="3">
        <v>72.900000000000006</v>
      </c>
      <c r="R16" s="3">
        <v>74.900000000000006</v>
      </c>
      <c r="S16" s="4">
        <v>75.3</v>
      </c>
      <c r="T16" s="4">
        <v>75.099999999999994</v>
      </c>
      <c r="U16" s="4">
        <v>74.400000000000006</v>
      </c>
      <c r="V16" s="8">
        <v>75.8</v>
      </c>
      <c r="W16" s="9">
        <v>75</v>
      </c>
      <c r="X16" s="7">
        <v>74.2</v>
      </c>
      <c r="Y16" s="7">
        <v>73.8</v>
      </c>
      <c r="Z16" s="7">
        <v>74.400000000000006</v>
      </c>
      <c r="AA16" s="4">
        <v>72.025000000000006</v>
      </c>
      <c r="AB16" s="4">
        <v>71.2</v>
      </c>
      <c r="AC16" s="4">
        <v>72.150000000000006</v>
      </c>
      <c r="AD16" s="4">
        <v>72.125</v>
      </c>
      <c r="AE16" s="4">
        <v>71.7</v>
      </c>
      <c r="AF16" s="4">
        <v>70.099999999999994</v>
      </c>
    </row>
    <row r="17" spans="1:32" x14ac:dyDescent="0.25">
      <c r="A17" s="5" t="s">
        <v>16</v>
      </c>
      <c r="B17" s="4">
        <v>71.3</v>
      </c>
      <c r="C17" s="4">
        <v>69.900000000000006</v>
      </c>
      <c r="D17" s="4">
        <v>69.2</v>
      </c>
      <c r="E17" s="4">
        <v>67.7</v>
      </c>
      <c r="F17" s="4">
        <v>68.3</v>
      </c>
      <c r="G17" s="6">
        <v>69.599999999999994</v>
      </c>
      <c r="H17" s="4">
        <v>70.7</v>
      </c>
      <c r="I17" s="4">
        <v>68.400000000000006</v>
      </c>
      <c r="J17" s="4">
        <v>66.3</v>
      </c>
      <c r="K17" s="4">
        <v>68.2</v>
      </c>
      <c r="L17" s="4">
        <v>70.099999999999994</v>
      </c>
      <c r="M17" s="4">
        <v>71.400000000000006</v>
      </c>
      <c r="N17" s="6">
        <v>72.8</v>
      </c>
      <c r="O17" s="3">
        <v>72.7</v>
      </c>
      <c r="P17" s="3">
        <v>72.099999999999994</v>
      </c>
      <c r="Q17" s="3">
        <v>73.900000000000006</v>
      </c>
      <c r="R17" s="3">
        <v>75.2</v>
      </c>
      <c r="S17" s="4">
        <v>76.599999999999994</v>
      </c>
      <c r="T17" s="4">
        <v>73.900000000000006</v>
      </c>
      <c r="U17" s="4">
        <v>73.400000000000006</v>
      </c>
      <c r="V17" s="8">
        <v>73.2</v>
      </c>
      <c r="W17" s="9">
        <v>73.900000000000006</v>
      </c>
      <c r="X17" s="7">
        <v>74</v>
      </c>
      <c r="Y17" s="7">
        <v>73.7</v>
      </c>
      <c r="Z17" s="7">
        <v>74</v>
      </c>
      <c r="AA17" s="4">
        <v>72.424999999999997</v>
      </c>
      <c r="AB17" s="4">
        <v>71.125</v>
      </c>
      <c r="AC17" s="4">
        <v>71.199999999999989</v>
      </c>
      <c r="AD17" s="4">
        <v>70.175000000000011</v>
      </c>
      <c r="AE17" s="4">
        <v>69.824999999999989</v>
      </c>
      <c r="AF17" s="4">
        <v>69.424999999999997</v>
      </c>
    </row>
    <row r="18" spans="1:32" x14ac:dyDescent="0.25">
      <c r="A18" s="5" t="s">
        <v>17</v>
      </c>
      <c r="B18" s="4">
        <v>72.7</v>
      </c>
      <c r="C18" s="4">
        <v>68.3</v>
      </c>
      <c r="D18" s="4">
        <v>66.400000000000006</v>
      </c>
      <c r="E18" s="4">
        <v>67.900000000000006</v>
      </c>
      <c r="F18" s="4">
        <v>68.599999999999994</v>
      </c>
      <c r="G18" s="6">
        <v>68.099999999999994</v>
      </c>
      <c r="H18" s="4">
        <v>69</v>
      </c>
      <c r="I18" s="4">
        <v>69.7</v>
      </c>
      <c r="J18" s="4">
        <v>69.8</v>
      </c>
      <c r="K18" s="4">
        <v>68.900000000000006</v>
      </c>
      <c r="L18" s="4">
        <v>69</v>
      </c>
      <c r="M18" s="4">
        <v>67.5</v>
      </c>
      <c r="N18" s="6">
        <v>67.5</v>
      </c>
      <c r="O18" s="3">
        <v>66.5</v>
      </c>
      <c r="P18" s="3">
        <v>66.7</v>
      </c>
      <c r="Q18" s="3">
        <v>67.5</v>
      </c>
      <c r="R18" s="3">
        <v>69.3</v>
      </c>
      <c r="S18" s="4">
        <v>70.400000000000006</v>
      </c>
      <c r="T18" s="4">
        <v>70.3</v>
      </c>
      <c r="U18" s="4">
        <v>70.3</v>
      </c>
      <c r="V18" s="8">
        <v>69.900000000000006</v>
      </c>
      <c r="W18" s="9">
        <v>69.5</v>
      </c>
      <c r="X18" s="7">
        <v>70</v>
      </c>
      <c r="Y18" s="7">
        <v>69.400000000000006</v>
      </c>
      <c r="Z18" s="7">
        <v>68.8</v>
      </c>
      <c r="AA18" s="4">
        <v>67.400000000000006</v>
      </c>
      <c r="AB18" s="4">
        <v>67.375</v>
      </c>
      <c r="AC18" s="4">
        <v>65.400000000000006</v>
      </c>
      <c r="AD18" s="4">
        <v>63.199999999999996</v>
      </c>
      <c r="AE18" s="4">
        <v>63.5</v>
      </c>
      <c r="AF18" s="4">
        <v>64.7</v>
      </c>
    </row>
    <row r="19" spans="1:32" x14ac:dyDescent="0.25">
      <c r="A19" s="5" t="s">
        <v>18</v>
      </c>
      <c r="B19" s="4">
        <v>70.2</v>
      </c>
      <c r="C19" s="4">
        <v>68.5</v>
      </c>
      <c r="D19" s="4">
        <v>68.099999999999994</v>
      </c>
      <c r="E19" s="4">
        <v>67.599999999999994</v>
      </c>
      <c r="F19" s="4">
        <v>65.400000000000006</v>
      </c>
      <c r="G19" s="6">
        <v>64.900000000000006</v>
      </c>
      <c r="H19" s="4">
        <v>65.8</v>
      </c>
      <c r="I19" s="4">
        <v>67.2</v>
      </c>
      <c r="J19" s="4">
        <v>69</v>
      </c>
      <c r="K19" s="4">
        <v>68.8</v>
      </c>
      <c r="L19" s="4">
        <v>70.599999999999994</v>
      </c>
      <c r="M19" s="4">
        <v>71.2</v>
      </c>
      <c r="N19" s="6">
        <v>73.2</v>
      </c>
      <c r="O19" s="3">
        <v>75</v>
      </c>
      <c r="P19" s="3">
        <v>75.099999999999994</v>
      </c>
      <c r="Q19" s="3">
        <v>73.900000000000006</v>
      </c>
      <c r="R19" s="3">
        <v>73.400000000000006</v>
      </c>
      <c r="S19" s="4">
        <v>73.900000000000006</v>
      </c>
      <c r="T19" s="4">
        <v>73.7</v>
      </c>
      <c r="U19" s="4">
        <v>74.400000000000006</v>
      </c>
      <c r="V19" s="8">
        <v>73.3</v>
      </c>
      <c r="W19" s="9">
        <v>71.599999999999994</v>
      </c>
      <c r="X19" s="7">
        <v>71.7</v>
      </c>
      <c r="Y19" s="7">
        <v>72.900000000000006</v>
      </c>
      <c r="Z19" s="7">
        <v>72.8</v>
      </c>
      <c r="AA19" s="4">
        <v>71.200000000000017</v>
      </c>
      <c r="AB19" s="4">
        <v>70.275000000000006</v>
      </c>
      <c r="AC19" s="4">
        <v>69.100000000000009</v>
      </c>
      <c r="AD19" s="4">
        <v>68.724999999999994</v>
      </c>
      <c r="AE19" s="4">
        <v>67.5</v>
      </c>
      <c r="AF19" s="4">
        <v>67.625</v>
      </c>
    </row>
    <row r="20" spans="1:32" x14ac:dyDescent="0.25">
      <c r="A20" s="5" t="s">
        <v>19</v>
      </c>
      <c r="B20" s="4">
        <v>70.099999999999994</v>
      </c>
      <c r="C20" s="4">
        <v>70.2</v>
      </c>
      <c r="D20" s="4">
        <v>70.400000000000006</v>
      </c>
      <c r="E20" s="4">
        <v>71</v>
      </c>
      <c r="F20" s="4">
        <v>68.5</v>
      </c>
      <c r="G20" s="6">
        <v>66.3</v>
      </c>
      <c r="H20" s="4">
        <v>67.8</v>
      </c>
      <c r="I20" s="4">
        <v>68.900000000000006</v>
      </c>
      <c r="J20" s="4">
        <v>66.7</v>
      </c>
      <c r="K20" s="4">
        <v>65.400000000000006</v>
      </c>
      <c r="L20" s="4">
        <v>65.8</v>
      </c>
      <c r="M20" s="4">
        <v>65.3</v>
      </c>
      <c r="N20" s="6">
        <v>64.900000000000006</v>
      </c>
      <c r="O20" s="3">
        <v>66.400000000000006</v>
      </c>
      <c r="P20" s="3">
        <v>66.599999999999994</v>
      </c>
      <c r="Q20" s="3">
        <v>66.8</v>
      </c>
      <c r="R20" s="3">
        <v>68.099999999999994</v>
      </c>
      <c r="S20" s="4">
        <v>67.099999999999994</v>
      </c>
      <c r="T20" s="4">
        <v>67.400000000000006</v>
      </c>
      <c r="U20" s="4">
        <v>67.5</v>
      </c>
      <c r="V20" s="8">
        <v>70.599999999999994</v>
      </c>
      <c r="W20" s="9">
        <v>72.5</v>
      </c>
      <c r="X20" s="7">
        <v>71.3</v>
      </c>
      <c r="Y20" s="7">
        <v>71.5</v>
      </c>
      <c r="Z20" s="7">
        <v>73.5</v>
      </c>
      <c r="AA20" s="4">
        <v>71.900000000000006</v>
      </c>
      <c r="AB20" s="4">
        <v>70.400000000000006</v>
      </c>
      <c r="AC20" s="4">
        <v>70.099999999999994</v>
      </c>
      <c r="AD20" s="4">
        <v>68.774999999999991</v>
      </c>
      <c r="AE20" s="4">
        <v>67.825000000000003</v>
      </c>
      <c r="AF20" s="4">
        <v>65.300000000000011</v>
      </c>
    </row>
    <row r="21" spans="1:32" x14ac:dyDescent="0.25">
      <c r="A21" s="5" t="s">
        <v>20</v>
      </c>
      <c r="B21" s="4">
        <v>74.099999999999994</v>
      </c>
      <c r="C21" s="4">
        <v>73.7</v>
      </c>
      <c r="D21" s="4">
        <v>74</v>
      </c>
      <c r="E21" s="4">
        <v>73.2</v>
      </c>
      <c r="F21" s="4">
        <v>72.2</v>
      </c>
      <c r="G21" s="6">
        <v>73.599999999999994</v>
      </c>
      <c r="H21" s="4">
        <v>74.2</v>
      </c>
      <c r="I21" s="4">
        <v>72</v>
      </c>
      <c r="J21" s="4">
        <v>72</v>
      </c>
      <c r="K21" s="4">
        <v>71.900000000000006</v>
      </c>
      <c r="L21" s="4">
        <v>72.599999999999994</v>
      </c>
      <c r="M21" s="4">
        <v>76.7</v>
      </c>
      <c r="N21" s="6">
        <v>76.5</v>
      </c>
      <c r="O21" s="3">
        <v>74.900000000000006</v>
      </c>
      <c r="P21" s="3">
        <v>74.599999999999994</v>
      </c>
      <c r="Q21" s="3">
        <v>77.400000000000006</v>
      </c>
      <c r="R21" s="3">
        <v>76.5</v>
      </c>
      <c r="S21" s="4">
        <v>75.5</v>
      </c>
      <c r="T21" s="4">
        <v>74</v>
      </c>
      <c r="U21" s="4">
        <v>73.7</v>
      </c>
      <c r="V21" s="8">
        <v>74.7</v>
      </c>
      <c r="W21" s="9">
        <v>73.900000000000006</v>
      </c>
      <c r="X21" s="7">
        <v>75.3</v>
      </c>
      <c r="Y21" s="7">
        <v>74.3</v>
      </c>
      <c r="Z21" s="7">
        <v>73.900000000000006</v>
      </c>
      <c r="AA21" s="4">
        <v>74.050000000000011</v>
      </c>
      <c r="AB21" s="4">
        <v>73.825000000000003</v>
      </c>
      <c r="AC21" s="4">
        <v>73.900000000000006</v>
      </c>
      <c r="AD21" s="4">
        <v>74.125</v>
      </c>
      <c r="AE21" s="4">
        <v>73.5</v>
      </c>
      <c r="AF21" s="4">
        <v>71.024999999999991</v>
      </c>
    </row>
    <row r="22" spans="1:32" x14ac:dyDescent="0.25">
      <c r="A22" s="5" t="s">
        <v>21</v>
      </c>
      <c r="B22" s="4">
        <v>67.8</v>
      </c>
      <c r="C22" s="4">
        <v>65.599999999999994</v>
      </c>
      <c r="D22" s="4">
        <v>62.8</v>
      </c>
      <c r="E22" s="4">
        <v>62.7</v>
      </c>
      <c r="F22" s="4">
        <v>63.5</v>
      </c>
      <c r="G22" s="6">
        <v>65.5</v>
      </c>
      <c r="H22" s="4">
        <v>64.900000000000006</v>
      </c>
      <c r="I22" s="4">
        <v>63.8</v>
      </c>
      <c r="J22" s="4">
        <v>64.8</v>
      </c>
      <c r="K22" s="4">
        <v>65.5</v>
      </c>
      <c r="L22" s="4">
        <v>64.099999999999994</v>
      </c>
      <c r="M22" s="4">
        <v>65.8</v>
      </c>
      <c r="N22" s="6">
        <v>66.900000000000006</v>
      </c>
      <c r="O22" s="3">
        <v>70.5</v>
      </c>
      <c r="P22" s="3">
        <v>68.7</v>
      </c>
      <c r="Q22" s="3">
        <v>69.599999999999994</v>
      </c>
      <c r="R22" s="3">
        <v>69.900000000000006</v>
      </c>
      <c r="S22" s="4">
        <v>70.7</v>
      </c>
      <c r="T22" s="4">
        <v>72</v>
      </c>
      <c r="U22" s="4">
        <v>71.599999999999994</v>
      </c>
      <c r="V22" s="8">
        <v>72.099999999999994</v>
      </c>
      <c r="W22" s="9">
        <v>71.2</v>
      </c>
      <c r="X22" s="7">
        <v>72.599999999999994</v>
      </c>
      <c r="Y22" s="7">
        <v>71.7</v>
      </c>
      <c r="Z22" s="7">
        <v>70.599999999999994</v>
      </c>
      <c r="AA22" s="4">
        <v>69.650000000000006</v>
      </c>
      <c r="AB22" s="4">
        <v>68.924999999999997</v>
      </c>
      <c r="AC22" s="4">
        <v>69.699999999999989</v>
      </c>
      <c r="AD22" s="4">
        <v>68.474999999999994</v>
      </c>
      <c r="AE22" s="4">
        <v>66.900000000000006</v>
      </c>
      <c r="AF22" s="4">
        <v>66.224999999999994</v>
      </c>
    </row>
    <row r="23" spans="1:32" x14ac:dyDescent="0.25">
      <c r="A23" s="5" t="s">
        <v>22</v>
      </c>
      <c r="B23" s="4">
        <v>61.7</v>
      </c>
      <c r="C23" s="4">
        <v>60.5</v>
      </c>
      <c r="D23" s="4">
        <v>60.3</v>
      </c>
      <c r="E23" s="4">
        <v>60.6</v>
      </c>
      <c r="F23" s="4">
        <v>60</v>
      </c>
      <c r="G23" s="6">
        <v>58.9</v>
      </c>
      <c r="H23" s="4">
        <v>58.6</v>
      </c>
      <c r="I23" s="4">
        <v>60.2</v>
      </c>
      <c r="J23" s="4">
        <v>61.8</v>
      </c>
      <c r="K23" s="4">
        <v>60.7</v>
      </c>
      <c r="L23" s="4">
        <v>60.6</v>
      </c>
      <c r="M23" s="4">
        <v>60.2</v>
      </c>
      <c r="N23" s="5">
        <v>61.7</v>
      </c>
      <c r="O23" s="3">
        <v>62.3</v>
      </c>
      <c r="P23" s="3">
        <v>61.3</v>
      </c>
      <c r="Q23" s="3">
        <v>60.3</v>
      </c>
      <c r="R23" s="3">
        <v>59.9</v>
      </c>
      <c r="S23" s="4">
        <v>60.6</v>
      </c>
      <c r="T23" s="4">
        <v>62.6</v>
      </c>
      <c r="U23" s="4">
        <v>64.3</v>
      </c>
      <c r="V23" s="8">
        <v>63.8</v>
      </c>
      <c r="W23" s="9">
        <v>63.4</v>
      </c>
      <c r="X23" s="7">
        <v>65.2</v>
      </c>
      <c r="Y23" s="7">
        <v>64.3</v>
      </c>
      <c r="Z23" s="7">
        <v>65.7</v>
      </c>
      <c r="AA23" s="4">
        <v>65.125</v>
      </c>
      <c r="AB23" s="4">
        <v>65.375</v>
      </c>
      <c r="AC23" s="4">
        <v>65.3</v>
      </c>
      <c r="AD23" s="4">
        <v>65.825000000000003</v>
      </c>
      <c r="AE23" s="4">
        <v>65.274999999999991</v>
      </c>
      <c r="AF23" s="4">
        <v>63</v>
      </c>
    </row>
    <row r="24" spans="1:32" x14ac:dyDescent="0.25">
      <c r="A24" s="5" t="s">
        <v>23</v>
      </c>
      <c r="B24" s="4">
        <v>72.7</v>
      </c>
      <c r="C24" s="4">
        <v>70.7</v>
      </c>
      <c r="D24" s="4">
        <v>70.900000000000006</v>
      </c>
      <c r="E24" s="4">
        <v>71.7</v>
      </c>
      <c r="F24" s="4">
        <v>72.5</v>
      </c>
      <c r="G24" s="6">
        <v>73.2</v>
      </c>
      <c r="H24" s="4">
        <v>72.3</v>
      </c>
      <c r="I24" s="4">
        <v>70.599999999999994</v>
      </c>
      <c r="J24" s="4">
        <v>70.599999999999994</v>
      </c>
      <c r="K24" s="4">
        <v>72.3</v>
      </c>
      <c r="L24" s="4">
        <v>72</v>
      </c>
      <c r="M24" s="4">
        <v>72.2</v>
      </c>
      <c r="N24" s="6">
        <v>73.3</v>
      </c>
      <c r="O24" s="3">
        <v>73.3</v>
      </c>
      <c r="P24" s="3">
        <v>74.400000000000006</v>
      </c>
      <c r="Q24" s="3">
        <v>76.5</v>
      </c>
      <c r="R24" s="3">
        <v>77.2</v>
      </c>
      <c r="S24" s="4">
        <v>77.099999999999994</v>
      </c>
      <c r="T24" s="4">
        <v>76</v>
      </c>
      <c r="U24" s="4">
        <v>75.599999999999994</v>
      </c>
      <c r="V24" s="8">
        <v>77.099999999999994</v>
      </c>
      <c r="W24" s="9">
        <v>76.400000000000006</v>
      </c>
      <c r="X24" s="7">
        <v>77.400000000000006</v>
      </c>
      <c r="Y24" s="7">
        <v>76.400000000000006</v>
      </c>
      <c r="Z24" s="7">
        <v>75.900000000000006</v>
      </c>
      <c r="AA24" s="4">
        <v>74.5</v>
      </c>
      <c r="AB24" s="4">
        <v>74.474999999999994</v>
      </c>
      <c r="AC24" s="4">
        <v>74.074999999999989</v>
      </c>
      <c r="AD24" s="4">
        <v>74.8</v>
      </c>
      <c r="AE24" s="4">
        <v>73.849999999999994</v>
      </c>
      <c r="AF24" s="4">
        <v>73.875</v>
      </c>
    </row>
    <row r="25" spans="1:32" x14ac:dyDescent="0.25">
      <c r="A25" s="5" t="s">
        <v>24</v>
      </c>
      <c r="B25" s="4">
        <v>72.599999999999994</v>
      </c>
      <c r="C25" s="4">
        <v>70</v>
      </c>
      <c r="D25" s="4">
        <v>68</v>
      </c>
      <c r="E25" s="4">
        <v>68.900000000000006</v>
      </c>
      <c r="F25" s="4">
        <v>69.099999999999994</v>
      </c>
      <c r="G25" s="6">
        <v>68.3</v>
      </c>
      <c r="H25" s="4">
        <v>68</v>
      </c>
      <c r="I25" s="4">
        <v>68.900000000000006</v>
      </c>
      <c r="J25" s="4">
        <v>66.7</v>
      </c>
      <c r="K25" s="4">
        <v>65.8</v>
      </c>
      <c r="L25" s="4">
        <v>68.900000000000006</v>
      </c>
      <c r="M25" s="4">
        <v>73.3</v>
      </c>
      <c r="N25" s="6">
        <v>75.400000000000006</v>
      </c>
      <c r="O25" s="3">
        <v>75.400000000000006</v>
      </c>
      <c r="P25" s="3">
        <v>75.400000000000006</v>
      </c>
      <c r="Q25" s="3">
        <v>76.099999999999994</v>
      </c>
      <c r="R25" s="3">
        <v>76.099999999999994</v>
      </c>
      <c r="S25" s="4">
        <v>76.099999999999994</v>
      </c>
      <c r="T25" s="4">
        <v>77.3</v>
      </c>
      <c r="U25" s="4">
        <v>77.2</v>
      </c>
      <c r="V25" s="8">
        <v>76.400000000000006</v>
      </c>
      <c r="W25" s="9">
        <v>76.5</v>
      </c>
      <c r="X25" s="7">
        <v>75.599999999999994</v>
      </c>
      <c r="Y25" s="7">
        <v>73.5</v>
      </c>
      <c r="Z25" s="7">
        <v>73.099999999999994</v>
      </c>
      <c r="AA25" s="4">
        <v>72.900000000000006</v>
      </c>
      <c r="AB25" s="4">
        <v>72.599999999999994</v>
      </c>
      <c r="AC25" s="4">
        <v>71.275000000000006</v>
      </c>
      <c r="AD25" s="4">
        <v>72.025000000000006</v>
      </c>
      <c r="AE25" s="4">
        <v>73.400000000000006</v>
      </c>
      <c r="AF25" s="4">
        <v>71.424999999999997</v>
      </c>
    </row>
    <row r="26" spans="1:32" x14ac:dyDescent="0.25">
      <c r="A26" s="5" t="s">
        <v>25</v>
      </c>
      <c r="B26" s="4">
        <v>72.3</v>
      </c>
      <c r="C26" s="4">
        <v>69.599999999999994</v>
      </c>
      <c r="D26" s="4">
        <v>70.400000000000006</v>
      </c>
      <c r="E26" s="4">
        <v>72.5</v>
      </c>
      <c r="F26" s="4">
        <v>73.7</v>
      </c>
      <c r="G26" s="6">
        <v>72.2</v>
      </c>
      <c r="H26" s="4">
        <v>69.400000000000006</v>
      </c>
      <c r="I26" s="4">
        <v>71.8</v>
      </c>
      <c r="J26" s="4">
        <v>70.400000000000006</v>
      </c>
      <c r="K26" s="4">
        <v>69.7</v>
      </c>
      <c r="L26" s="4">
        <v>69.2</v>
      </c>
      <c r="M26" s="4">
        <v>71.099999999999994</v>
      </c>
      <c r="N26" s="6">
        <v>73</v>
      </c>
      <c r="O26" s="3">
        <v>73.7</v>
      </c>
      <c r="P26" s="3">
        <v>75.099999999999994</v>
      </c>
      <c r="Q26" s="3">
        <v>74.900000000000006</v>
      </c>
      <c r="R26" s="3">
        <v>75.2</v>
      </c>
      <c r="S26" s="4">
        <v>74.5</v>
      </c>
      <c r="T26" s="4">
        <v>74.900000000000006</v>
      </c>
      <c r="U26" s="4">
        <v>73.400000000000006</v>
      </c>
      <c r="V26" s="8">
        <v>74</v>
      </c>
      <c r="W26" s="9">
        <v>78.8</v>
      </c>
      <c r="X26" s="7">
        <v>76.2</v>
      </c>
      <c r="Y26" s="7">
        <v>74</v>
      </c>
      <c r="Z26" s="7">
        <v>75.400000000000006</v>
      </c>
      <c r="AA26" s="4">
        <v>75.475000000000009</v>
      </c>
      <c r="AB26" s="4">
        <v>74.75</v>
      </c>
      <c r="AC26" s="4">
        <v>74.849999999999994</v>
      </c>
      <c r="AD26" s="4">
        <v>74.199999999999989</v>
      </c>
      <c r="AE26" s="4">
        <v>74.224999999999994</v>
      </c>
      <c r="AF26" s="4">
        <v>73.224999999999994</v>
      </c>
    </row>
    <row r="27" spans="1:32" x14ac:dyDescent="0.25">
      <c r="A27" s="5" t="s">
        <v>26</v>
      </c>
      <c r="B27" s="4">
        <v>69.5</v>
      </c>
      <c r="C27" s="4">
        <v>69.2</v>
      </c>
      <c r="D27" s="4">
        <v>67.8</v>
      </c>
      <c r="E27" s="4">
        <v>66.099999999999994</v>
      </c>
      <c r="F27" s="4">
        <v>64.8</v>
      </c>
      <c r="G27" s="6">
        <v>63.7</v>
      </c>
      <c r="H27" s="4">
        <v>64</v>
      </c>
      <c r="I27" s="4">
        <v>64.2</v>
      </c>
      <c r="J27" s="4">
        <v>65.2</v>
      </c>
      <c r="K27" s="4">
        <v>66.400000000000006</v>
      </c>
      <c r="L27" s="4">
        <v>68.400000000000006</v>
      </c>
      <c r="M27" s="4">
        <v>69.400000000000006</v>
      </c>
      <c r="N27" s="6">
        <v>70.2</v>
      </c>
      <c r="O27" s="3">
        <v>70.5</v>
      </c>
      <c r="P27" s="3">
        <v>70.7</v>
      </c>
      <c r="Q27" s="3">
        <v>72.900000000000006</v>
      </c>
      <c r="R27" s="3">
        <v>74.2</v>
      </c>
      <c r="S27" s="4">
        <v>74</v>
      </c>
      <c r="T27" s="4">
        <v>74.8</v>
      </c>
      <c r="U27" s="4">
        <v>74</v>
      </c>
      <c r="V27" s="8">
        <v>72.400000000000006</v>
      </c>
      <c r="W27" s="9">
        <v>72.3</v>
      </c>
      <c r="X27" s="7">
        <v>71.900000000000006</v>
      </c>
      <c r="Y27" s="7">
        <v>70.400000000000006</v>
      </c>
      <c r="Z27" s="7">
        <v>71.400000000000006</v>
      </c>
      <c r="AA27" s="4">
        <v>72</v>
      </c>
      <c r="AB27" s="4">
        <v>71.225000000000009</v>
      </c>
      <c r="AC27" s="4">
        <v>71.150000000000006</v>
      </c>
      <c r="AD27" s="4">
        <v>70.75</v>
      </c>
      <c r="AE27" s="4">
        <v>71.325000000000003</v>
      </c>
      <c r="AF27" s="4">
        <v>70.525000000000006</v>
      </c>
    </row>
    <row r="28" spans="1:32" x14ac:dyDescent="0.25">
      <c r="A28" s="5" t="s">
        <v>27</v>
      </c>
      <c r="B28" s="4">
        <v>66.400000000000006</v>
      </c>
      <c r="C28" s="4">
        <v>66.5</v>
      </c>
      <c r="D28" s="4">
        <v>64.400000000000006</v>
      </c>
      <c r="E28" s="4">
        <v>65</v>
      </c>
      <c r="F28" s="4">
        <v>65.400000000000006</v>
      </c>
      <c r="G28" s="6">
        <v>67.900000000000006</v>
      </c>
      <c r="H28" s="4">
        <v>69.099999999999994</v>
      </c>
      <c r="I28" s="4">
        <v>69.599999999999994</v>
      </c>
      <c r="J28" s="4">
        <v>69.900000000000006</v>
      </c>
      <c r="K28" s="4">
        <v>69.7</v>
      </c>
      <c r="L28" s="4">
        <v>68.8</v>
      </c>
      <c r="M28" s="4">
        <v>68.7</v>
      </c>
      <c r="N28" s="6">
        <v>68.599999999999994</v>
      </c>
      <c r="O28" s="3">
        <v>67.5</v>
      </c>
      <c r="P28" s="3">
        <v>68.599999999999994</v>
      </c>
      <c r="Q28" s="3">
        <v>70.599999999999994</v>
      </c>
      <c r="R28" s="3">
        <v>70.2</v>
      </c>
      <c r="S28" s="4">
        <v>68.3</v>
      </c>
      <c r="T28" s="4">
        <v>69.400000000000006</v>
      </c>
      <c r="U28" s="4">
        <v>71.5</v>
      </c>
      <c r="V28" s="8">
        <v>72.400000000000006</v>
      </c>
      <c r="W28" s="9">
        <v>70.400000000000006</v>
      </c>
      <c r="X28" s="7">
        <v>69.5</v>
      </c>
      <c r="Y28" s="7">
        <v>67.3</v>
      </c>
      <c r="Z28" s="7">
        <v>70.3</v>
      </c>
      <c r="AA28" s="4">
        <v>70.724999999999994</v>
      </c>
      <c r="AB28" s="4">
        <v>68.125</v>
      </c>
      <c r="AC28" s="4">
        <v>68.375</v>
      </c>
      <c r="AD28" s="4">
        <v>67.849999999999994</v>
      </c>
      <c r="AE28" s="4">
        <v>67.45</v>
      </c>
      <c r="AF28" s="4">
        <v>66.875</v>
      </c>
    </row>
    <row r="29" spans="1:32" x14ac:dyDescent="0.25">
      <c r="A29" s="5" t="s">
        <v>28</v>
      </c>
      <c r="B29" s="4">
        <v>69.3</v>
      </c>
      <c r="C29" s="4">
        <v>68.5</v>
      </c>
      <c r="D29" s="4">
        <v>68.3</v>
      </c>
      <c r="E29" s="4">
        <v>66.8</v>
      </c>
      <c r="F29" s="4">
        <v>66.599999999999994</v>
      </c>
      <c r="G29" s="6">
        <v>67.2</v>
      </c>
      <c r="H29" s="4">
        <v>67.3</v>
      </c>
      <c r="I29" s="4">
        <v>67.5</v>
      </c>
      <c r="J29" s="4">
        <v>68.400000000000006</v>
      </c>
      <c r="K29" s="4">
        <v>67.7</v>
      </c>
      <c r="L29" s="4">
        <v>68</v>
      </c>
      <c r="M29" s="4">
        <v>67.099999999999994</v>
      </c>
      <c r="N29" s="6">
        <v>66.8</v>
      </c>
      <c r="O29" s="3">
        <v>66.7</v>
      </c>
      <c r="P29" s="3">
        <v>69.900000000000006</v>
      </c>
      <c r="Q29" s="3">
        <v>70.900000000000006</v>
      </c>
      <c r="R29" s="3">
        <v>70.2</v>
      </c>
      <c r="S29" s="4">
        <v>70.099999999999994</v>
      </c>
      <c r="T29" s="4">
        <v>68.5</v>
      </c>
      <c r="U29" s="4">
        <v>69.5</v>
      </c>
      <c r="V29" s="8">
        <v>71.2</v>
      </c>
      <c r="W29" s="9">
        <v>70.2</v>
      </c>
      <c r="X29" s="7">
        <v>67.599999999999994</v>
      </c>
      <c r="Y29" s="7">
        <v>68.2</v>
      </c>
      <c r="Z29" s="7">
        <v>69.599999999999994</v>
      </c>
      <c r="AA29" s="4">
        <v>70.25</v>
      </c>
      <c r="AB29" s="4">
        <v>70.375</v>
      </c>
      <c r="AC29" s="4">
        <v>68.974999999999994</v>
      </c>
      <c r="AD29" s="4">
        <v>69.349999999999994</v>
      </c>
      <c r="AE29" s="4">
        <v>68.175000000000011</v>
      </c>
      <c r="AF29" s="4">
        <v>66.75</v>
      </c>
    </row>
    <row r="30" spans="1:32" x14ac:dyDescent="0.25">
      <c r="A30" s="5" t="s">
        <v>29</v>
      </c>
      <c r="B30" s="4">
        <v>58.9</v>
      </c>
      <c r="C30" s="4">
        <v>57</v>
      </c>
      <c r="D30" s="4">
        <v>54.5</v>
      </c>
      <c r="E30" s="4">
        <v>54.1</v>
      </c>
      <c r="F30" s="4">
        <v>54.3</v>
      </c>
      <c r="G30" s="6">
        <v>54.3</v>
      </c>
      <c r="H30" s="4">
        <v>55.8</v>
      </c>
      <c r="I30" s="4">
        <v>55.8</v>
      </c>
      <c r="J30" s="4">
        <v>55.1</v>
      </c>
      <c r="K30" s="4">
        <v>55.8</v>
      </c>
      <c r="L30" s="4">
        <v>55.8</v>
      </c>
      <c r="M30" s="4">
        <v>58.6</v>
      </c>
      <c r="N30" s="6">
        <v>61.1</v>
      </c>
      <c r="O30" s="3">
        <v>61.2</v>
      </c>
      <c r="P30" s="3">
        <v>61.4</v>
      </c>
      <c r="Q30" s="3">
        <v>63.7</v>
      </c>
      <c r="R30" s="3">
        <v>64</v>
      </c>
      <c r="S30" s="4">
        <v>64.599999999999994</v>
      </c>
      <c r="T30" s="4">
        <v>65.3</v>
      </c>
      <c r="U30" s="4">
        <v>64.8</v>
      </c>
      <c r="V30" s="8">
        <v>65.7</v>
      </c>
      <c r="W30" s="9">
        <v>63.4</v>
      </c>
      <c r="X30" s="7">
        <v>65.7</v>
      </c>
      <c r="Y30" s="7">
        <v>63.3</v>
      </c>
      <c r="Z30" s="7">
        <v>63.6</v>
      </c>
      <c r="AA30" s="4">
        <v>62.400000000000006</v>
      </c>
      <c r="AB30" s="4">
        <v>59.75</v>
      </c>
      <c r="AC30" s="4">
        <v>56.225000000000001</v>
      </c>
      <c r="AD30" s="4">
        <v>55.75</v>
      </c>
      <c r="AE30" s="4">
        <v>56.024999999999999</v>
      </c>
      <c r="AF30" s="4">
        <v>55.924999999999997</v>
      </c>
    </row>
    <row r="31" spans="1:32" x14ac:dyDescent="0.25">
      <c r="A31" s="5" t="s">
        <v>30</v>
      </c>
      <c r="B31" s="4">
        <v>67.099999999999994</v>
      </c>
      <c r="C31" s="4">
        <v>65.5</v>
      </c>
      <c r="D31" s="4">
        <v>64.8</v>
      </c>
      <c r="E31" s="4">
        <v>66.400000000000006</v>
      </c>
      <c r="F31" s="4">
        <v>67.900000000000006</v>
      </c>
      <c r="G31" s="6">
        <v>67</v>
      </c>
      <c r="H31" s="4">
        <v>65</v>
      </c>
      <c r="I31" s="4">
        <v>66.8</v>
      </c>
      <c r="J31" s="4">
        <v>66.599999999999994</v>
      </c>
      <c r="K31" s="4">
        <v>65.400000000000006</v>
      </c>
      <c r="L31" s="4">
        <v>65.099999999999994</v>
      </c>
      <c r="M31" s="4">
        <v>66</v>
      </c>
      <c r="N31" s="6">
        <v>65</v>
      </c>
      <c r="O31" s="3">
        <v>66.8</v>
      </c>
      <c r="P31" s="3">
        <v>69.599999999999994</v>
      </c>
      <c r="Q31" s="3">
        <v>70.2</v>
      </c>
      <c r="R31" s="3">
        <v>69.2</v>
      </c>
      <c r="S31" s="4">
        <v>68.400000000000006</v>
      </c>
      <c r="T31" s="4">
        <v>69.5</v>
      </c>
      <c r="U31" s="4">
        <v>74.400000000000006</v>
      </c>
      <c r="V31" s="8">
        <v>73.3</v>
      </c>
      <c r="W31" s="9">
        <v>74</v>
      </c>
      <c r="X31" s="7">
        <v>74.2</v>
      </c>
      <c r="Y31" s="7">
        <v>73.8</v>
      </c>
      <c r="Z31" s="7">
        <v>75</v>
      </c>
      <c r="AA31" s="4">
        <v>76.025000000000006</v>
      </c>
      <c r="AB31" s="4">
        <v>74.875</v>
      </c>
      <c r="AC31" s="4">
        <v>74.125</v>
      </c>
      <c r="AD31" s="4">
        <v>74.75</v>
      </c>
      <c r="AE31" s="4">
        <v>74.125</v>
      </c>
      <c r="AF31" s="4">
        <v>72.199999999999989</v>
      </c>
    </row>
    <row r="32" spans="1:32" x14ac:dyDescent="0.25">
      <c r="A32" s="5" t="s">
        <v>31</v>
      </c>
      <c r="B32" s="4">
        <v>63.4</v>
      </c>
      <c r="C32" s="4">
        <v>62.3</v>
      </c>
      <c r="D32" s="4">
        <v>63.3</v>
      </c>
      <c r="E32" s="4">
        <v>64</v>
      </c>
      <c r="F32" s="4">
        <v>64.8</v>
      </c>
      <c r="G32" s="6">
        <v>65.7</v>
      </c>
      <c r="H32" s="4">
        <v>65</v>
      </c>
      <c r="I32" s="4">
        <v>64.8</v>
      </c>
      <c r="J32" s="4">
        <v>64.599999999999994</v>
      </c>
      <c r="K32" s="4">
        <v>64.5</v>
      </c>
      <c r="L32" s="4">
        <v>64.099999999999994</v>
      </c>
      <c r="M32" s="4">
        <v>64.900000000000006</v>
      </c>
      <c r="N32" s="6">
        <v>64.599999999999994</v>
      </c>
      <c r="O32" s="3">
        <v>63.1</v>
      </c>
      <c r="P32" s="3">
        <v>63.1</v>
      </c>
      <c r="Q32" s="3">
        <v>64.5</v>
      </c>
      <c r="R32" s="3">
        <v>66.2</v>
      </c>
      <c r="S32" s="4">
        <v>66.5</v>
      </c>
      <c r="T32" s="4">
        <v>66.900000000000006</v>
      </c>
      <c r="U32" s="4">
        <v>66.900000000000006</v>
      </c>
      <c r="V32" s="8">
        <v>68.8</v>
      </c>
      <c r="W32" s="9">
        <v>70.099999999999994</v>
      </c>
      <c r="X32" s="7">
        <v>69</v>
      </c>
      <c r="Y32" s="7">
        <v>68.3</v>
      </c>
      <c r="Z32" s="7">
        <v>67.3</v>
      </c>
      <c r="AA32" s="4">
        <v>65.900000000000006</v>
      </c>
      <c r="AB32" s="4">
        <v>66.5</v>
      </c>
      <c r="AC32" s="4">
        <v>66.375</v>
      </c>
      <c r="AD32" s="4">
        <v>66.550000000000011</v>
      </c>
      <c r="AE32" s="4">
        <v>64.949999999999989</v>
      </c>
      <c r="AF32" s="4">
        <v>65.150000000000006</v>
      </c>
    </row>
    <row r="33" spans="1:32" x14ac:dyDescent="0.25">
      <c r="A33" s="5" t="s">
        <v>32</v>
      </c>
      <c r="B33" s="4">
        <v>68</v>
      </c>
      <c r="C33" s="4">
        <v>68.2</v>
      </c>
      <c r="D33" s="4">
        <v>67.8</v>
      </c>
      <c r="E33" s="4">
        <v>67.2</v>
      </c>
      <c r="F33" s="4">
        <v>65.400000000000006</v>
      </c>
      <c r="G33" s="6">
        <v>65.5</v>
      </c>
      <c r="H33" s="4">
        <v>68.599999999999994</v>
      </c>
      <c r="I33" s="4">
        <v>69.5</v>
      </c>
      <c r="J33" s="4">
        <v>70.5</v>
      </c>
      <c r="K33" s="4">
        <v>69.099999999999994</v>
      </c>
      <c r="L33" s="4">
        <v>66.8</v>
      </c>
      <c r="M33" s="4">
        <v>67</v>
      </c>
      <c r="N33" s="6">
        <v>67.099999999999994</v>
      </c>
      <c r="O33" s="3">
        <v>69.599999999999994</v>
      </c>
      <c r="P33" s="3">
        <v>71.3</v>
      </c>
      <c r="Q33" s="3">
        <v>72.599999999999994</v>
      </c>
      <c r="R33" s="3">
        <v>73.7</v>
      </c>
      <c r="S33" s="4">
        <v>70.8</v>
      </c>
      <c r="T33" s="4">
        <v>70</v>
      </c>
      <c r="U33" s="4">
        <v>70.3</v>
      </c>
      <c r="V33" s="8">
        <v>71.5</v>
      </c>
      <c r="W33" s="9">
        <v>71.400000000000006</v>
      </c>
      <c r="X33" s="7">
        <v>72</v>
      </c>
      <c r="Y33" s="7">
        <v>71.5</v>
      </c>
      <c r="Z33" s="7">
        <v>70.400000000000006</v>
      </c>
      <c r="AA33" s="4">
        <v>69.050000000000011</v>
      </c>
      <c r="AB33" s="4">
        <v>68.625</v>
      </c>
      <c r="AC33" s="4">
        <v>69.150000000000006</v>
      </c>
      <c r="AD33" s="4">
        <v>66.775000000000006</v>
      </c>
      <c r="AE33" s="4">
        <v>67.349999999999994</v>
      </c>
      <c r="AF33" s="4">
        <v>66.324999999999989</v>
      </c>
    </row>
    <row r="34" spans="1:32" x14ac:dyDescent="0.25">
      <c r="A34" s="5" t="s">
        <v>33</v>
      </c>
      <c r="B34" s="4">
        <v>51.1</v>
      </c>
      <c r="C34" s="4">
        <v>50.3</v>
      </c>
      <c r="D34" s="4">
        <v>51.3</v>
      </c>
      <c r="E34" s="4">
        <v>52</v>
      </c>
      <c r="F34" s="4">
        <v>50.7</v>
      </c>
      <c r="G34" s="6">
        <v>52.3</v>
      </c>
      <c r="H34" s="4">
        <v>53.3</v>
      </c>
      <c r="I34" s="4">
        <v>52.6</v>
      </c>
      <c r="J34" s="4">
        <v>53.3</v>
      </c>
      <c r="K34" s="4">
        <v>52.8</v>
      </c>
      <c r="L34" s="4">
        <v>52.5</v>
      </c>
      <c r="M34" s="4">
        <v>52.7</v>
      </c>
      <c r="N34" s="6">
        <v>52.7</v>
      </c>
      <c r="O34" s="3">
        <v>52.6</v>
      </c>
      <c r="P34" s="3">
        <v>52.8</v>
      </c>
      <c r="Q34" s="3">
        <v>52.8</v>
      </c>
      <c r="R34" s="3">
        <v>53.4</v>
      </c>
      <c r="S34" s="4">
        <v>53.9</v>
      </c>
      <c r="T34" s="4">
        <v>54.8</v>
      </c>
      <c r="U34" s="4">
        <v>54.3</v>
      </c>
      <c r="V34" s="8">
        <v>54.8</v>
      </c>
      <c r="W34" s="9">
        <v>55.9</v>
      </c>
      <c r="X34" s="7">
        <v>55.7</v>
      </c>
      <c r="Y34" s="7">
        <v>55.9</v>
      </c>
      <c r="Z34" s="7">
        <v>55</v>
      </c>
      <c r="AA34" s="4">
        <v>54.375000000000007</v>
      </c>
      <c r="AB34" s="4">
        <v>54.45</v>
      </c>
      <c r="AC34" s="4">
        <v>53.599999999999994</v>
      </c>
      <c r="AD34" s="4">
        <v>53.574999999999996</v>
      </c>
      <c r="AE34" s="4">
        <v>53.024999999999999</v>
      </c>
      <c r="AF34" s="4">
        <v>52.924999999999997</v>
      </c>
    </row>
    <row r="35" spans="1:32" x14ac:dyDescent="0.25">
      <c r="A35" s="5" t="s">
        <v>34</v>
      </c>
      <c r="B35" s="4">
        <v>68.8</v>
      </c>
      <c r="C35" s="4">
        <v>68</v>
      </c>
      <c r="D35" s="4">
        <v>68.2</v>
      </c>
      <c r="E35" s="4">
        <v>68.400000000000006</v>
      </c>
      <c r="F35" s="4">
        <v>68.3</v>
      </c>
      <c r="G35" s="6">
        <v>69.400000000000006</v>
      </c>
      <c r="H35" s="4">
        <v>69</v>
      </c>
      <c r="I35" s="4">
        <v>69.3</v>
      </c>
      <c r="J35" s="4">
        <v>68.599999999999994</v>
      </c>
      <c r="K35" s="4">
        <v>68.8</v>
      </c>
      <c r="L35" s="4">
        <v>68.7</v>
      </c>
      <c r="M35" s="4">
        <v>70.099999999999994</v>
      </c>
      <c r="N35" s="6">
        <v>70.400000000000006</v>
      </c>
      <c r="O35" s="3">
        <v>70.2</v>
      </c>
      <c r="P35" s="3">
        <v>71.3</v>
      </c>
      <c r="Q35" s="3">
        <v>71.7</v>
      </c>
      <c r="R35" s="3">
        <v>71.099999999999994</v>
      </c>
      <c r="S35" s="4">
        <v>71.3</v>
      </c>
      <c r="T35" s="4">
        <v>70</v>
      </c>
      <c r="U35" s="4">
        <v>70</v>
      </c>
      <c r="V35" s="8">
        <v>69.8</v>
      </c>
      <c r="W35" s="9">
        <v>70.900000000000006</v>
      </c>
      <c r="X35" s="7">
        <v>70.2</v>
      </c>
      <c r="Y35" s="7">
        <v>70.3</v>
      </c>
      <c r="Z35" s="7">
        <v>69.400000000000006</v>
      </c>
      <c r="AA35" s="4">
        <v>70.099999999999994</v>
      </c>
      <c r="AB35" s="4">
        <v>69.474999999999994</v>
      </c>
      <c r="AC35" s="4">
        <v>68.324999999999989</v>
      </c>
      <c r="AD35" s="4">
        <v>67.174999999999997</v>
      </c>
      <c r="AE35" s="4">
        <v>67.375</v>
      </c>
      <c r="AF35" s="4">
        <v>66.425000000000011</v>
      </c>
    </row>
    <row r="36" spans="1:32" x14ac:dyDescent="0.25">
      <c r="A36" s="5" t="s">
        <v>35</v>
      </c>
      <c r="B36" s="4">
        <v>70.099999999999994</v>
      </c>
      <c r="C36" s="4">
        <v>69.900000000000006</v>
      </c>
      <c r="D36" s="4">
        <v>69.2</v>
      </c>
      <c r="E36" s="4">
        <v>68.900000000000006</v>
      </c>
      <c r="F36" s="4">
        <v>67.7</v>
      </c>
      <c r="G36" s="6">
        <v>67.099999999999994</v>
      </c>
      <c r="H36" s="4">
        <v>67.2</v>
      </c>
      <c r="I36" s="4">
        <v>65.400000000000006</v>
      </c>
      <c r="J36" s="4">
        <v>63.7</v>
      </c>
      <c r="K36" s="4">
        <v>62.7</v>
      </c>
      <c r="L36" s="4">
        <v>63.3</v>
      </c>
      <c r="M36" s="4">
        <v>67.3</v>
      </c>
      <c r="N36" s="6">
        <v>68.2</v>
      </c>
      <c r="O36" s="3">
        <v>68.099999999999994</v>
      </c>
      <c r="P36" s="3">
        <v>68</v>
      </c>
      <c r="Q36" s="3">
        <v>70.099999999999994</v>
      </c>
      <c r="R36" s="3">
        <v>70.7</v>
      </c>
      <c r="S36" s="4">
        <v>71</v>
      </c>
      <c r="T36" s="4">
        <v>69.400000000000006</v>
      </c>
      <c r="U36" s="4">
        <v>68.7</v>
      </c>
      <c r="V36" s="8">
        <v>70</v>
      </c>
      <c r="W36" s="9">
        <v>68.5</v>
      </c>
      <c r="X36" s="7">
        <v>68.3</v>
      </c>
      <c r="Y36" s="7">
        <v>66</v>
      </c>
      <c r="Z36" s="7">
        <v>66.599999999999994</v>
      </c>
      <c r="AA36" s="4">
        <v>65.7</v>
      </c>
      <c r="AB36" s="4">
        <v>67.125</v>
      </c>
      <c r="AC36" s="4">
        <v>68.325000000000003</v>
      </c>
      <c r="AD36" s="4">
        <v>66.199999999999989</v>
      </c>
      <c r="AE36" s="4">
        <v>68</v>
      </c>
      <c r="AF36" s="4">
        <v>64.600000000000009</v>
      </c>
    </row>
    <row r="37" spans="1:32" x14ac:dyDescent="0.25">
      <c r="A37" s="5" t="s">
        <v>36</v>
      </c>
      <c r="B37" s="4">
        <v>67.7</v>
      </c>
      <c r="C37" s="4">
        <v>67.900000000000006</v>
      </c>
      <c r="D37" s="4">
        <v>68.2</v>
      </c>
      <c r="E37" s="4">
        <v>68.599999999999994</v>
      </c>
      <c r="F37" s="4">
        <v>69.599999999999994</v>
      </c>
      <c r="G37" s="6">
        <v>69.599999999999994</v>
      </c>
      <c r="H37" s="4">
        <v>68.7</v>
      </c>
      <c r="I37" s="4">
        <v>68.7</v>
      </c>
      <c r="J37" s="4">
        <v>69.099999999999994</v>
      </c>
      <c r="K37" s="4">
        <v>68.5</v>
      </c>
      <c r="L37" s="4">
        <v>67.400000000000006</v>
      </c>
      <c r="M37" s="4">
        <v>67.900000000000006</v>
      </c>
      <c r="N37" s="6">
        <v>69.2</v>
      </c>
      <c r="O37" s="3">
        <v>69</v>
      </c>
      <c r="P37" s="3">
        <v>70.7</v>
      </c>
      <c r="Q37" s="3">
        <v>70.7</v>
      </c>
      <c r="R37" s="3">
        <v>71.3</v>
      </c>
      <c r="S37" s="4">
        <v>71.2</v>
      </c>
      <c r="T37" s="4">
        <v>72.099999999999994</v>
      </c>
      <c r="U37" s="4">
        <v>72.8</v>
      </c>
      <c r="V37" s="8">
        <v>73.099999999999994</v>
      </c>
      <c r="W37" s="9">
        <v>73.3</v>
      </c>
      <c r="X37" s="7">
        <v>72.099999999999994</v>
      </c>
      <c r="Y37" s="7">
        <v>71.400000000000006</v>
      </c>
      <c r="Z37" s="7">
        <v>70.8</v>
      </c>
      <c r="AA37" s="4">
        <v>69.75</v>
      </c>
      <c r="AB37" s="4">
        <v>69.75</v>
      </c>
      <c r="AC37" s="4">
        <v>68.899999999999991</v>
      </c>
      <c r="AD37" s="4">
        <v>67.825000000000003</v>
      </c>
      <c r="AE37" s="4">
        <v>67.875</v>
      </c>
      <c r="AF37" s="4">
        <v>67.375</v>
      </c>
    </row>
    <row r="38" spans="1:32" x14ac:dyDescent="0.25">
      <c r="A38" s="5" t="s">
        <v>37</v>
      </c>
      <c r="B38" s="4">
        <v>71</v>
      </c>
      <c r="C38" s="4">
        <v>70.5</v>
      </c>
      <c r="D38" s="4">
        <v>69.7</v>
      </c>
      <c r="E38" s="4">
        <v>70.900000000000006</v>
      </c>
      <c r="F38" s="4">
        <v>72.099999999999994</v>
      </c>
      <c r="G38" s="6">
        <v>71.400000000000006</v>
      </c>
      <c r="H38" s="4">
        <v>70.3</v>
      </c>
      <c r="I38" s="4">
        <v>69.2</v>
      </c>
      <c r="J38" s="4">
        <v>68.900000000000006</v>
      </c>
      <c r="K38" s="4">
        <v>70.3</v>
      </c>
      <c r="L38" s="4">
        <v>68.5</v>
      </c>
      <c r="M38" s="4">
        <v>69.8</v>
      </c>
      <c r="N38" s="6">
        <v>68.400000000000006</v>
      </c>
      <c r="O38" s="3">
        <v>68.5</v>
      </c>
      <c r="P38" s="3">
        <v>69.7</v>
      </c>
      <c r="Q38" s="3">
        <v>71.5</v>
      </c>
      <c r="R38" s="3">
        <v>72.7</v>
      </c>
      <c r="S38" s="4">
        <v>71.5</v>
      </c>
      <c r="T38" s="4">
        <v>69.599999999999994</v>
      </c>
      <c r="U38" s="4">
        <v>69.099999999999994</v>
      </c>
      <c r="V38" s="8">
        <v>71.099999999999994</v>
      </c>
      <c r="W38" s="9">
        <v>72.900000000000006</v>
      </c>
      <c r="X38" s="7">
        <v>71.599999999999994</v>
      </c>
      <c r="Y38" s="7">
        <v>70.3</v>
      </c>
      <c r="Z38" s="7">
        <v>70.400000000000006</v>
      </c>
      <c r="AA38" s="4">
        <v>69.599999999999994</v>
      </c>
      <c r="AB38" s="4">
        <v>69.150000000000006</v>
      </c>
      <c r="AC38" s="4">
        <v>69.424999999999997</v>
      </c>
      <c r="AD38" s="4">
        <v>68.775000000000006</v>
      </c>
      <c r="AE38" s="4">
        <v>69.900000000000006</v>
      </c>
      <c r="AF38" s="4">
        <v>69.3</v>
      </c>
    </row>
    <row r="39" spans="1:32" x14ac:dyDescent="0.25">
      <c r="A39" s="5" t="s">
        <v>38</v>
      </c>
      <c r="B39" s="4">
        <v>61.9</v>
      </c>
      <c r="C39" s="4">
        <v>61.5</v>
      </c>
      <c r="D39" s="4">
        <v>63.9</v>
      </c>
      <c r="E39" s="4">
        <v>64.599999999999994</v>
      </c>
      <c r="F39" s="4">
        <v>64</v>
      </c>
      <c r="G39" s="6">
        <v>63.4</v>
      </c>
      <c r="H39" s="4">
        <v>64.400000000000006</v>
      </c>
      <c r="I39" s="4">
        <v>65.2</v>
      </c>
      <c r="J39" s="4">
        <v>64.3</v>
      </c>
      <c r="K39" s="4">
        <v>63.8</v>
      </c>
      <c r="L39" s="4">
        <v>63.9</v>
      </c>
      <c r="M39" s="4">
        <v>63.2</v>
      </c>
      <c r="N39" s="6">
        <v>63.1</v>
      </c>
      <c r="O39" s="3">
        <v>61</v>
      </c>
      <c r="P39" s="3">
        <v>63.4</v>
      </c>
      <c r="Q39" s="3">
        <v>64.3</v>
      </c>
      <c r="R39" s="3">
        <v>65.3</v>
      </c>
      <c r="S39" s="4">
        <v>65.8</v>
      </c>
      <c r="T39" s="4">
        <v>66.2</v>
      </c>
      <c r="U39" s="4">
        <v>68</v>
      </c>
      <c r="V39" s="8">
        <v>69</v>
      </c>
      <c r="W39" s="9">
        <v>68.2</v>
      </c>
      <c r="X39" s="7">
        <v>68.099999999999994</v>
      </c>
      <c r="Y39" s="7">
        <v>65.7</v>
      </c>
      <c r="Z39" s="7">
        <v>66.2</v>
      </c>
      <c r="AA39" s="4">
        <v>68.175000000000011</v>
      </c>
      <c r="AB39" s="4">
        <v>66.25</v>
      </c>
      <c r="AC39" s="4">
        <v>66.424999999999997</v>
      </c>
      <c r="AD39" s="4">
        <v>66.099999999999994</v>
      </c>
      <c r="AE39" s="4">
        <v>64.224999999999994</v>
      </c>
      <c r="AF39" s="4">
        <v>62.849999999999994</v>
      </c>
    </row>
    <row r="40" spans="1:32" x14ac:dyDescent="0.25">
      <c r="A40" s="5" t="s">
        <v>39</v>
      </c>
      <c r="B40" s="4">
        <v>71.099999999999994</v>
      </c>
      <c r="C40" s="4">
        <v>71.599999999999994</v>
      </c>
      <c r="D40" s="4">
        <v>72.3</v>
      </c>
      <c r="E40" s="4">
        <v>71.8</v>
      </c>
      <c r="F40" s="4">
        <v>72.099999999999994</v>
      </c>
      <c r="G40" s="6">
        <v>72.8</v>
      </c>
      <c r="H40" s="4">
        <v>73.8</v>
      </c>
      <c r="I40" s="4">
        <v>74</v>
      </c>
      <c r="J40" s="4">
        <v>73.099999999999994</v>
      </c>
      <c r="K40" s="4">
        <v>72</v>
      </c>
      <c r="L40" s="4">
        <v>71.8</v>
      </c>
      <c r="M40" s="4">
        <v>71.5</v>
      </c>
      <c r="N40" s="6">
        <v>71.7</v>
      </c>
      <c r="O40" s="3">
        <v>73.3</v>
      </c>
      <c r="P40" s="3">
        <v>73.900000000000006</v>
      </c>
      <c r="Q40" s="3">
        <v>75.2</v>
      </c>
      <c r="R40" s="3">
        <v>74.7</v>
      </c>
      <c r="S40" s="4">
        <v>74.3</v>
      </c>
      <c r="T40" s="4">
        <v>74</v>
      </c>
      <c r="U40" s="4">
        <v>73.7</v>
      </c>
      <c r="V40" s="8">
        <v>74.900000000000006</v>
      </c>
      <c r="W40" s="9">
        <v>73.3</v>
      </c>
      <c r="X40" s="7">
        <v>73.2</v>
      </c>
      <c r="Y40" s="7">
        <v>72.900000000000006</v>
      </c>
      <c r="Z40" s="7">
        <v>72.599999999999994</v>
      </c>
      <c r="AA40" s="4">
        <v>72.199999999999989</v>
      </c>
      <c r="AB40" s="4">
        <v>72.150000000000006</v>
      </c>
      <c r="AC40" s="4">
        <v>71.150000000000006</v>
      </c>
      <c r="AD40" s="4">
        <v>71</v>
      </c>
      <c r="AE40" s="4">
        <v>71.5</v>
      </c>
      <c r="AF40" s="4">
        <v>69.675000000000011</v>
      </c>
    </row>
    <row r="41" spans="1:32" x14ac:dyDescent="0.25">
      <c r="A41" s="5" t="s">
        <v>40</v>
      </c>
      <c r="B41" s="4">
        <v>60.9</v>
      </c>
      <c r="C41" s="4">
        <v>61.4</v>
      </c>
      <c r="D41" s="4">
        <v>62.2</v>
      </c>
      <c r="E41" s="4">
        <v>60.4</v>
      </c>
      <c r="F41" s="4">
        <v>62</v>
      </c>
      <c r="G41" s="6">
        <v>61.2</v>
      </c>
      <c r="H41" s="4">
        <v>58.5</v>
      </c>
      <c r="I41" s="4">
        <v>58.2</v>
      </c>
      <c r="J41" s="4">
        <v>56.8</v>
      </c>
      <c r="K41" s="4">
        <v>57.6</v>
      </c>
      <c r="L41" s="4">
        <v>56.5</v>
      </c>
      <c r="M41" s="4">
        <v>57.9</v>
      </c>
      <c r="N41" s="6">
        <v>56.6</v>
      </c>
      <c r="O41" s="3">
        <v>58.7</v>
      </c>
      <c r="P41" s="3">
        <v>59.8</v>
      </c>
      <c r="Q41" s="3">
        <v>60.6</v>
      </c>
      <c r="R41" s="3">
        <v>61.5</v>
      </c>
      <c r="S41" s="4">
        <v>60.1</v>
      </c>
      <c r="T41" s="4">
        <v>59.4</v>
      </c>
      <c r="U41" s="4">
        <v>59.9</v>
      </c>
      <c r="V41" s="8">
        <v>61.5</v>
      </c>
      <c r="W41" s="9">
        <v>63.1</v>
      </c>
      <c r="X41" s="7">
        <v>64.599999999999994</v>
      </c>
      <c r="Y41" s="7">
        <v>64.900000000000006</v>
      </c>
      <c r="Z41" s="7">
        <v>64.5</v>
      </c>
      <c r="AA41" s="4">
        <v>62.849999999999994</v>
      </c>
      <c r="AB41" s="4">
        <v>62.8</v>
      </c>
      <c r="AC41" s="4">
        <v>63.400000000000006</v>
      </c>
      <c r="AD41" s="4">
        <v>62.075000000000003</v>
      </c>
      <c r="AE41" s="4">
        <v>61.525000000000006</v>
      </c>
      <c r="AF41" s="4">
        <v>61.875</v>
      </c>
    </row>
    <row r="42" spans="1:32" x14ac:dyDescent="0.25">
      <c r="A42" s="5" t="s">
        <v>41</v>
      </c>
      <c r="B42" s="4">
        <v>69.099999999999994</v>
      </c>
      <c r="C42" s="4">
        <v>72</v>
      </c>
      <c r="D42" s="4">
        <v>70.3</v>
      </c>
      <c r="E42" s="4">
        <v>72.8</v>
      </c>
      <c r="F42" s="4">
        <v>73.8</v>
      </c>
      <c r="G42" s="6">
        <v>71</v>
      </c>
      <c r="H42" s="4">
        <v>71.400000000000006</v>
      </c>
      <c r="I42" s="4">
        <v>73.099999999999994</v>
      </c>
      <c r="J42" s="4">
        <v>71</v>
      </c>
      <c r="K42" s="4">
        <v>71.099999999999994</v>
      </c>
      <c r="L42" s="4">
        <v>72</v>
      </c>
      <c r="M42" s="4">
        <v>71.3</v>
      </c>
      <c r="N42" s="6">
        <v>72.900000000000006</v>
      </c>
      <c r="O42" s="3">
        <v>74.099999999999994</v>
      </c>
      <c r="P42" s="3">
        <v>76.599999999999994</v>
      </c>
      <c r="Q42" s="3">
        <v>77.099999999999994</v>
      </c>
      <c r="R42" s="3">
        <v>76.5</v>
      </c>
      <c r="S42" s="4">
        <v>76.099999999999994</v>
      </c>
      <c r="T42" s="4">
        <v>77.5</v>
      </c>
      <c r="U42" s="4">
        <v>75</v>
      </c>
      <c r="V42" s="8">
        <v>76.2</v>
      </c>
      <c r="W42" s="9">
        <v>73.900000000000006</v>
      </c>
      <c r="X42" s="7">
        <v>74.2</v>
      </c>
      <c r="Y42" s="7">
        <v>74.099999999999994</v>
      </c>
      <c r="Z42" s="7">
        <v>73.900000000000006</v>
      </c>
      <c r="AA42" s="4">
        <v>74.375</v>
      </c>
      <c r="AB42" s="4">
        <v>74.8</v>
      </c>
      <c r="AC42" s="4">
        <v>74.25</v>
      </c>
      <c r="AD42" s="4">
        <v>71.525000000000006</v>
      </c>
      <c r="AE42" s="4">
        <v>72.424999999999997</v>
      </c>
      <c r="AF42" s="4">
        <v>72.975000000000009</v>
      </c>
    </row>
    <row r="43" spans="1:32" x14ac:dyDescent="0.25">
      <c r="A43" s="5" t="s">
        <v>42</v>
      </c>
      <c r="B43" s="4">
        <v>69.599999999999994</v>
      </c>
      <c r="C43" s="4">
        <v>67.599999999999994</v>
      </c>
      <c r="D43" s="4">
        <v>65.900000000000006</v>
      </c>
      <c r="E43" s="4">
        <v>66.8</v>
      </c>
      <c r="F43" s="4">
        <v>66.400000000000006</v>
      </c>
      <c r="G43" s="6">
        <v>65.8</v>
      </c>
      <c r="H43" s="4">
        <v>66.2</v>
      </c>
      <c r="I43" s="4">
        <v>66.099999999999994</v>
      </c>
      <c r="J43" s="4">
        <v>66.5</v>
      </c>
      <c r="K43" s="4">
        <v>65.599999999999994</v>
      </c>
      <c r="L43" s="4">
        <v>66.400000000000006</v>
      </c>
      <c r="M43" s="4">
        <v>67.5</v>
      </c>
      <c r="N43" s="6">
        <v>67.8</v>
      </c>
      <c r="O43" s="3">
        <v>67.599999999999994</v>
      </c>
      <c r="P43" s="3">
        <v>67.3</v>
      </c>
      <c r="Q43" s="3">
        <v>70.7</v>
      </c>
      <c r="R43" s="3">
        <v>71.2</v>
      </c>
      <c r="S43" s="4">
        <v>71.5</v>
      </c>
      <c r="T43" s="4">
        <v>71.5</v>
      </c>
      <c r="U43" s="4">
        <v>70.900000000000006</v>
      </c>
      <c r="V43" s="8">
        <v>68.5</v>
      </c>
      <c r="W43" s="9">
        <v>68.400000000000006</v>
      </c>
      <c r="X43" s="7">
        <v>70.599999999999994</v>
      </c>
      <c r="Y43" s="7">
        <v>70.400000000000006</v>
      </c>
      <c r="Z43" s="7">
        <v>70.400000000000006</v>
      </c>
      <c r="AA43" s="4">
        <v>69.575000000000003</v>
      </c>
      <c r="AB43" s="4">
        <v>70.650000000000006</v>
      </c>
      <c r="AC43" s="4">
        <v>69.324999999999989</v>
      </c>
      <c r="AD43" s="4">
        <v>69.150000000000006</v>
      </c>
      <c r="AE43" s="4">
        <v>67.800000000000011</v>
      </c>
      <c r="AF43" s="4">
        <v>69.225000000000009</v>
      </c>
    </row>
    <row r="44" spans="1:32" x14ac:dyDescent="0.25">
      <c r="A44" s="5" t="s">
        <v>43</v>
      </c>
      <c r="B44" s="4">
        <v>67.599999999999994</v>
      </c>
      <c r="C44" s="4">
        <v>67.599999999999994</v>
      </c>
      <c r="D44" s="4">
        <v>67.400000000000006</v>
      </c>
      <c r="E44" s="4">
        <v>67.2</v>
      </c>
      <c r="F44" s="4">
        <v>66.900000000000006</v>
      </c>
      <c r="G44" s="6">
        <v>67.3</v>
      </c>
      <c r="H44" s="4">
        <v>68.3</v>
      </c>
      <c r="I44" s="4">
        <v>68</v>
      </c>
      <c r="J44" s="4">
        <v>67.400000000000006</v>
      </c>
      <c r="K44" s="4">
        <v>64.099999999999994</v>
      </c>
      <c r="L44" s="4">
        <v>65.2</v>
      </c>
      <c r="M44" s="4">
        <v>67</v>
      </c>
      <c r="N44" s="6">
        <v>68.8</v>
      </c>
      <c r="O44" s="3">
        <v>70.2</v>
      </c>
      <c r="P44" s="3">
        <v>71.3</v>
      </c>
      <c r="Q44" s="3">
        <v>71.900000000000006</v>
      </c>
      <c r="R44" s="3">
        <v>70.900000000000006</v>
      </c>
      <c r="S44" s="4">
        <v>69.7</v>
      </c>
      <c r="T44" s="4">
        <v>70.3</v>
      </c>
      <c r="U44" s="4">
        <v>70.8</v>
      </c>
      <c r="V44" s="8">
        <v>71.599999999999994</v>
      </c>
      <c r="W44" s="9">
        <v>72.400000000000006</v>
      </c>
      <c r="X44" s="7">
        <v>71.3</v>
      </c>
      <c r="Y44" s="7">
        <v>70.2</v>
      </c>
      <c r="Z44" s="7">
        <v>71.7</v>
      </c>
      <c r="AA44" s="4">
        <v>71.099999999999994</v>
      </c>
      <c r="AB44" s="4">
        <v>71.025000000000006</v>
      </c>
      <c r="AC44" s="4">
        <v>69.25</v>
      </c>
      <c r="AD44" s="4">
        <v>67.949999999999989</v>
      </c>
      <c r="AE44" s="4">
        <v>66.8</v>
      </c>
      <c r="AF44" s="4">
        <v>66.75</v>
      </c>
    </row>
    <row r="45" spans="1:32" x14ac:dyDescent="0.25">
      <c r="A45" s="5" t="s">
        <v>44</v>
      </c>
      <c r="B45" s="4">
        <v>62.5</v>
      </c>
      <c r="C45" s="4">
        <v>60.5</v>
      </c>
      <c r="D45" s="4">
        <v>61</v>
      </c>
      <c r="E45" s="4">
        <v>61.1</v>
      </c>
      <c r="F45" s="4">
        <v>59.9</v>
      </c>
      <c r="G45" s="6">
        <v>61</v>
      </c>
      <c r="H45" s="4">
        <v>59.7</v>
      </c>
      <c r="I45" s="4">
        <v>59</v>
      </c>
      <c r="J45" s="4">
        <v>58.3</v>
      </c>
      <c r="K45" s="4">
        <v>58.7</v>
      </c>
      <c r="L45" s="4">
        <v>59.7</v>
      </c>
      <c r="M45" s="4">
        <v>61.4</v>
      </c>
      <c r="N45" s="6">
        <v>61.8</v>
      </c>
      <c r="O45" s="3">
        <v>61.5</v>
      </c>
      <c r="P45" s="3">
        <v>62.5</v>
      </c>
      <c r="Q45" s="3">
        <v>62.9</v>
      </c>
      <c r="R45" s="3">
        <v>63.8</v>
      </c>
      <c r="S45" s="4">
        <v>63.9</v>
      </c>
      <c r="T45" s="4">
        <v>63.4</v>
      </c>
      <c r="U45" s="4">
        <v>64.5</v>
      </c>
      <c r="V45" s="8">
        <v>65.5</v>
      </c>
      <c r="W45" s="9">
        <v>65.900000000000006</v>
      </c>
      <c r="X45" s="7">
        <v>66</v>
      </c>
      <c r="Y45" s="7">
        <v>66</v>
      </c>
      <c r="Z45" s="7">
        <v>65.5</v>
      </c>
      <c r="AA45" s="4">
        <v>65.349999999999994</v>
      </c>
      <c r="AB45" s="4">
        <v>65.349999999999994</v>
      </c>
      <c r="AC45" s="4">
        <v>64.325000000000003</v>
      </c>
      <c r="AD45" s="4">
        <v>64.3</v>
      </c>
      <c r="AE45" s="4">
        <v>63.25</v>
      </c>
      <c r="AF45" s="4">
        <v>62.225000000000001</v>
      </c>
    </row>
    <row r="46" spans="1:32" x14ac:dyDescent="0.25">
      <c r="A46" s="5" t="s">
        <v>45</v>
      </c>
      <c r="B46" s="4">
        <v>69.900000000000006</v>
      </c>
      <c r="C46" s="4">
        <v>71.5</v>
      </c>
      <c r="D46" s="4">
        <v>68</v>
      </c>
      <c r="E46" s="4">
        <v>69</v>
      </c>
      <c r="F46" s="4">
        <v>70.2</v>
      </c>
      <c r="G46" s="6">
        <v>70.400000000000006</v>
      </c>
      <c r="H46" s="4">
        <v>70.099999999999994</v>
      </c>
      <c r="I46" s="4">
        <v>70.7</v>
      </c>
      <c r="J46" s="4">
        <v>70</v>
      </c>
      <c r="K46" s="4">
        <v>68.900000000000006</v>
      </c>
      <c r="L46" s="4">
        <v>69.3</v>
      </c>
      <c r="M46" s="4">
        <v>71.5</v>
      </c>
      <c r="N46" s="6">
        <v>72.7</v>
      </c>
      <c r="O46" s="3">
        <v>72.5</v>
      </c>
      <c r="P46" s="3">
        <v>73.7</v>
      </c>
      <c r="Q46" s="3">
        <v>74.7</v>
      </c>
      <c r="R46" s="3">
        <v>72.7</v>
      </c>
      <c r="S46" s="4">
        <v>72.400000000000006</v>
      </c>
      <c r="T46" s="4">
        <v>72.8</v>
      </c>
      <c r="U46" s="4">
        <v>73.400000000000006</v>
      </c>
      <c r="V46" s="8">
        <v>74.900000000000006</v>
      </c>
      <c r="W46" s="9">
        <v>73.900000000000006</v>
      </c>
      <c r="X46" s="7">
        <v>73.5</v>
      </c>
      <c r="Y46" s="7">
        <v>74.900000000000006</v>
      </c>
      <c r="Z46" s="7">
        <v>76.2</v>
      </c>
      <c r="AA46" s="4">
        <v>74.099999999999994</v>
      </c>
      <c r="AB46" s="4">
        <v>72.474999999999994</v>
      </c>
      <c r="AC46" s="4">
        <v>71.400000000000006</v>
      </c>
      <c r="AD46" s="4">
        <v>71.125</v>
      </c>
      <c r="AE46" s="4">
        <v>70.875</v>
      </c>
      <c r="AF46" s="4">
        <v>70.875</v>
      </c>
    </row>
    <row r="47" spans="1:32" x14ac:dyDescent="0.25">
      <c r="A47" s="5" t="s">
        <v>46</v>
      </c>
      <c r="B47" s="4">
        <v>66.900000000000006</v>
      </c>
      <c r="C47" s="4">
        <v>69.5</v>
      </c>
      <c r="D47" s="4">
        <v>69.8</v>
      </c>
      <c r="E47" s="4">
        <v>70.5</v>
      </c>
      <c r="F47" s="4">
        <v>68.7</v>
      </c>
      <c r="G47" s="6">
        <v>69.7</v>
      </c>
      <c r="H47" s="4">
        <v>72.599999999999994</v>
      </c>
      <c r="I47" s="4">
        <v>70.8</v>
      </c>
      <c r="J47" s="4">
        <v>70.8</v>
      </c>
      <c r="K47" s="4">
        <v>68.5</v>
      </c>
      <c r="L47" s="4">
        <v>69.400000000000006</v>
      </c>
      <c r="M47" s="4">
        <v>70.400000000000006</v>
      </c>
      <c r="N47" s="6">
        <v>70.3</v>
      </c>
      <c r="O47" s="3">
        <v>69.099999999999994</v>
      </c>
      <c r="P47" s="3">
        <v>69.099999999999994</v>
      </c>
      <c r="Q47" s="3">
        <v>69.099999999999994</v>
      </c>
      <c r="R47" s="3">
        <v>68.7</v>
      </c>
      <c r="S47" s="4">
        <v>69.8</v>
      </c>
      <c r="T47" s="4">
        <v>70.3</v>
      </c>
      <c r="U47" s="4">
        <v>71.400000000000006</v>
      </c>
      <c r="V47" s="8">
        <v>72</v>
      </c>
      <c r="W47" s="9">
        <v>74.2</v>
      </c>
      <c r="X47" s="7">
        <v>74</v>
      </c>
      <c r="Y47" s="7">
        <v>73.7</v>
      </c>
      <c r="Z47" s="7">
        <v>72.8</v>
      </c>
      <c r="AA47" s="4">
        <v>74.324999999999989</v>
      </c>
      <c r="AB47" s="4">
        <v>73.625</v>
      </c>
      <c r="AC47" s="4">
        <v>74.599999999999994</v>
      </c>
      <c r="AD47" s="4">
        <v>73.349999999999994</v>
      </c>
      <c r="AE47" s="4">
        <v>72.974999999999994</v>
      </c>
      <c r="AF47" s="4">
        <v>73.5</v>
      </c>
    </row>
    <row r="48" spans="1:32" x14ac:dyDescent="0.25">
      <c r="A48" s="5" t="s">
        <v>47</v>
      </c>
      <c r="B48" s="4">
        <v>68.3</v>
      </c>
      <c r="C48" s="4">
        <v>68.5</v>
      </c>
      <c r="D48" s="4">
        <v>68.2</v>
      </c>
      <c r="E48" s="4">
        <v>69</v>
      </c>
      <c r="F48" s="4">
        <v>69.8</v>
      </c>
      <c r="G48" s="6">
        <v>70.2</v>
      </c>
      <c r="H48" s="4">
        <v>69.8</v>
      </c>
      <c r="I48" s="4">
        <v>68.900000000000006</v>
      </c>
      <c r="J48" s="4">
        <v>67.8</v>
      </c>
      <c r="K48" s="4">
        <v>68.5</v>
      </c>
      <c r="L48" s="4">
        <v>69.3</v>
      </c>
      <c r="M48" s="4">
        <v>68.099999999999994</v>
      </c>
      <c r="N48" s="6">
        <v>68.5</v>
      </c>
      <c r="O48" s="3">
        <v>68.400000000000006</v>
      </c>
      <c r="P48" s="3">
        <v>69.400000000000006</v>
      </c>
      <c r="Q48" s="3">
        <v>71.2</v>
      </c>
      <c r="R48" s="3">
        <v>73.900000000000006</v>
      </c>
      <c r="S48" s="4">
        <v>75.099999999999994</v>
      </c>
      <c r="T48" s="4">
        <v>74.400000000000006</v>
      </c>
      <c r="U48" s="4">
        <v>75</v>
      </c>
      <c r="V48" s="8">
        <v>73.400000000000006</v>
      </c>
      <c r="W48" s="9">
        <v>71.2</v>
      </c>
      <c r="X48" s="7">
        <v>71.099999999999994</v>
      </c>
      <c r="Y48" s="7">
        <v>71.5</v>
      </c>
      <c r="Z48" s="7">
        <v>70.599999999999994</v>
      </c>
      <c r="AA48" s="4">
        <v>69.674999999999997</v>
      </c>
      <c r="AB48" s="4">
        <v>68.724999999999994</v>
      </c>
      <c r="AC48" s="4">
        <v>67.849999999999994</v>
      </c>
      <c r="AD48" s="4">
        <v>67.824999999999989</v>
      </c>
      <c r="AE48" s="4">
        <v>68.125</v>
      </c>
      <c r="AF48" s="4">
        <v>68.724999999999994</v>
      </c>
    </row>
    <row r="49" spans="1:32" x14ac:dyDescent="0.25">
      <c r="A49" s="5" t="s">
        <v>48</v>
      </c>
      <c r="B49" s="4">
        <v>65.7</v>
      </c>
      <c r="C49" s="4">
        <v>66.8</v>
      </c>
      <c r="D49" s="4">
        <v>65.099999999999994</v>
      </c>
      <c r="E49" s="4">
        <v>64.400000000000006</v>
      </c>
      <c r="F49" s="4">
        <v>64.2</v>
      </c>
      <c r="G49" s="6">
        <v>64.2</v>
      </c>
      <c r="H49" s="4">
        <v>61.8</v>
      </c>
      <c r="I49" s="4">
        <v>61.8</v>
      </c>
      <c r="J49" s="4">
        <v>62.5</v>
      </c>
      <c r="K49" s="4">
        <v>63.1</v>
      </c>
      <c r="L49" s="4">
        <v>62.4</v>
      </c>
      <c r="M49" s="4">
        <v>61.6</v>
      </c>
      <c r="N49" s="6">
        <v>63.1</v>
      </c>
      <c r="O49" s="3">
        <v>62.9</v>
      </c>
      <c r="P49" s="3">
        <v>64.900000000000006</v>
      </c>
      <c r="Q49" s="3">
        <v>64.8</v>
      </c>
      <c r="R49" s="3">
        <v>63.6</v>
      </c>
      <c r="S49" s="4">
        <v>66.400000000000006</v>
      </c>
      <c r="T49" s="4">
        <v>66.900000000000006</v>
      </c>
      <c r="U49" s="4">
        <v>65.900000000000006</v>
      </c>
      <c r="V49" s="8">
        <v>66</v>
      </c>
      <c r="W49" s="9">
        <v>67.599999999999994</v>
      </c>
      <c r="X49" s="7">
        <v>66.7</v>
      </c>
      <c r="Y49" s="7">
        <v>66.8</v>
      </c>
      <c r="Z49" s="7">
        <v>66.2</v>
      </c>
      <c r="AA49" s="4">
        <v>65.5</v>
      </c>
      <c r="AB49" s="4">
        <v>64.45</v>
      </c>
      <c r="AC49" s="4">
        <v>64.2</v>
      </c>
      <c r="AD49" s="4">
        <v>63.5</v>
      </c>
      <c r="AE49" s="4">
        <v>62.724999999999994</v>
      </c>
      <c r="AF49" s="4">
        <v>63.624999999999993</v>
      </c>
    </row>
    <row r="50" spans="1:32" x14ac:dyDescent="0.25">
      <c r="A50" s="5" t="s">
        <v>49</v>
      </c>
      <c r="B50" s="4">
        <v>72</v>
      </c>
      <c r="C50" s="4">
        <v>75.900000000000006</v>
      </c>
      <c r="D50" s="4">
        <v>76.400000000000006</v>
      </c>
      <c r="E50" s="4">
        <v>72.5</v>
      </c>
      <c r="F50" s="4">
        <v>73.2</v>
      </c>
      <c r="G50" s="6">
        <v>74.8</v>
      </c>
      <c r="H50" s="4">
        <v>72</v>
      </c>
      <c r="I50" s="4">
        <v>72.400000000000006</v>
      </c>
      <c r="J50" s="4">
        <v>73.3</v>
      </c>
      <c r="K50" s="4">
        <v>73.3</v>
      </c>
      <c r="L50" s="4">
        <v>73.7</v>
      </c>
      <c r="M50" s="4">
        <v>73.099999999999994</v>
      </c>
      <c r="N50" s="6">
        <v>74.3</v>
      </c>
      <c r="O50" s="3">
        <v>74.599999999999994</v>
      </c>
      <c r="P50" s="3">
        <v>74.8</v>
      </c>
      <c r="Q50" s="3">
        <v>74.8</v>
      </c>
      <c r="R50" s="3">
        <v>75.900000000000006</v>
      </c>
      <c r="S50" s="4">
        <v>76.400000000000006</v>
      </c>
      <c r="T50" s="4">
        <v>77.2</v>
      </c>
      <c r="U50" s="4">
        <v>78.099999999999994</v>
      </c>
      <c r="V50" s="8">
        <v>80.3</v>
      </c>
      <c r="W50" s="9">
        <v>81.3</v>
      </c>
      <c r="X50" s="7">
        <v>78.400000000000006</v>
      </c>
      <c r="Y50" s="7">
        <v>77.599999999999994</v>
      </c>
      <c r="Z50" s="7">
        <v>77.8</v>
      </c>
      <c r="AA50" s="4">
        <v>78.724999999999994</v>
      </c>
      <c r="AB50" s="4">
        <v>79</v>
      </c>
      <c r="AC50" s="4">
        <v>78.724999999999994</v>
      </c>
      <c r="AD50" s="4">
        <v>75.775000000000006</v>
      </c>
      <c r="AE50" s="4">
        <v>76.775000000000006</v>
      </c>
      <c r="AF50" s="4">
        <v>75.574999999999989</v>
      </c>
    </row>
    <row r="51" spans="1:32" x14ac:dyDescent="0.25">
      <c r="A51" s="5" t="s">
        <v>50</v>
      </c>
      <c r="B51" s="4">
        <v>65.2</v>
      </c>
      <c r="C51" s="4">
        <v>63.8</v>
      </c>
      <c r="D51" s="4">
        <v>66.5</v>
      </c>
      <c r="E51" s="4">
        <v>68.2</v>
      </c>
      <c r="F51" s="4">
        <v>68</v>
      </c>
      <c r="G51" s="6">
        <v>69.3</v>
      </c>
      <c r="H51" s="4">
        <v>68.3</v>
      </c>
      <c r="I51" s="4">
        <v>68.900000000000006</v>
      </c>
      <c r="J51" s="4">
        <v>69.400000000000006</v>
      </c>
      <c r="K51" s="4">
        <v>65.7</v>
      </c>
      <c r="L51" s="4">
        <v>64.2</v>
      </c>
      <c r="M51" s="4">
        <v>67.5</v>
      </c>
      <c r="N51" s="6">
        <v>68.2</v>
      </c>
      <c r="O51" s="3">
        <v>68.3</v>
      </c>
      <c r="P51" s="3">
        <v>70.099999999999994</v>
      </c>
      <c r="Q51" s="3">
        <v>70.900000000000006</v>
      </c>
      <c r="R51" s="3">
        <v>71.8</v>
      </c>
      <c r="S51" s="4">
        <v>72.3</v>
      </c>
      <c r="T51" s="4">
        <v>72.2</v>
      </c>
      <c r="U51" s="4">
        <v>72.8</v>
      </c>
      <c r="V51" s="8">
        <v>73.3</v>
      </c>
      <c r="W51" s="9">
        <v>71.099999999999994</v>
      </c>
      <c r="X51" s="7">
        <v>70.2</v>
      </c>
      <c r="Y51" s="7">
        <v>70.5</v>
      </c>
      <c r="Z51" s="7">
        <v>70.400000000000006</v>
      </c>
      <c r="AA51" s="4">
        <v>70.324999999999989</v>
      </c>
      <c r="AB51" s="4">
        <v>70.95</v>
      </c>
      <c r="AC51" s="4">
        <v>68.5</v>
      </c>
      <c r="AD51" s="4">
        <v>67.525000000000006</v>
      </c>
      <c r="AE51" s="4">
        <v>68.5</v>
      </c>
      <c r="AF51" s="4">
        <v>67.824999999999989</v>
      </c>
    </row>
    <row r="52" spans="1:32" x14ac:dyDescent="0.25">
      <c r="A52" s="5" t="s">
        <v>51</v>
      </c>
      <c r="B52" s="4">
        <v>68.8</v>
      </c>
      <c r="C52" s="4">
        <v>73.2</v>
      </c>
      <c r="D52" s="4">
        <v>72</v>
      </c>
      <c r="E52" s="4">
        <v>68.900000000000006</v>
      </c>
      <c r="F52" s="4">
        <v>67.8</v>
      </c>
      <c r="G52" s="6">
        <v>69.599999999999994</v>
      </c>
      <c r="H52" s="4">
        <v>68.900000000000006</v>
      </c>
      <c r="I52" s="4">
        <v>68.7</v>
      </c>
      <c r="J52" s="4">
        <v>67.900000000000006</v>
      </c>
      <c r="K52" s="4">
        <v>67.099999999999994</v>
      </c>
      <c r="L52" s="4">
        <v>65.8</v>
      </c>
      <c r="M52" s="4">
        <v>69</v>
      </c>
      <c r="N52" s="6">
        <v>68</v>
      </c>
      <c r="O52" s="3">
        <v>67.599999999999994</v>
      </c>
      <c r="P52" s="3">
        <v>70</v>
      </c>
      <c r="Q52" s="3">
        <v>69.8</v>
      </c>
      <c r="R52" s="3">
        <v>71</v>
      </c>
      <c r="S52" s="4">
        <v>73.5</v>
      </c>
      <c r="T52" s="4">
        <v>73</v>
      </c>
      <c r="U52" s="4">
        <v>72.900000000000006</v>
      </c>
      <c r="V52" s="8">
        <v>72.8</v>
      </c>
      <c r="W52" s="9">
        <v>72.8</v>
      </c>
      <c r="X52" s="7">
        <v>73.7</v>
      </c>
      <c r="Y52" s="7">
        <v>73.2</v>
      </c>
      <c r="Z52" s="7">
        <v>73.3</v>
      </c>
      <c r="AA52" s="4">
        <v>73.775000000000006</v>
      </c>
      <c r="AB52" s="4">
        <v>73.424999999999997</v>
      </c>
      <c r="AC52" s="4">
        <v>71.075000000000003</v>
      </c>
      <c r="AD52" s="4">
        <v>70.325000000000003</v>
      </c>
      <c r="AE52" s="4">
        <v>70.55</v>
      </c>
      <c r="AF52" s="4">
        <v>70.8</v>
      </c>
    </row>
  </sheetData>
  <pageMargins left="0.75" right="0.75" top="1" bottom="1" header="0.5" footer="0.5"/>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8"/>
  <sheetViews>
    <sheetView showGridLines="0" workbookViewId="0"/>
  </sheetViews>
  <sheetFormatPr defaultColWidth="12.7109375" defaultRowHeight="15" x14ac:dyDescent="0.25"/>
  <cols>
    <col min="1" max="1" width="16.85546875" bestFit="1" customWidth="1"/>
    <col min="2" max="2" width="18.28515625" bestFit="1" customWidth="1"/>
    <col min="3" max="32" width="12.7109375" customWidth="1"/>
  </cols>
  <sheetData>
    <row r="1" spans="1:32" s="14" customFormat="1" ht="18.75" x14ac:dyDescent="0.3">
      <c r="A1" s="16" t="s">
        <v>204</v>
      </c>
      <c r="B1" s="19" t="s">
        <v>205</v>
      </c>
    </row>
    <row r="2" spans="1:32" s="14" customFormat="1" ht="11.25" x14ac:dyDescent="0.2">
      <c r="A2" s="17" t="s">
        <v>206</v>
      </c>
      <c r="B2" s="19" t="s">
        <v>207</v>
      </c>
    </row>
    <row r="3" spans="1:32" s="14" customFormat="1" ht="11.25" x14ac:dyDescent="0.2">
      <c r="A3" s="17" t="s">
        <v>208</v>
      </c>
      <c r="B3" s="19" t="s">
        <v>209</v>
      </c>
    </row>
    <row r="4" spans="1:32" s="14" customFormat="1" ht="11.25" x14ac:dyDescent="0.2">
      <c r="A4" s="17" t="s">
        <v>210</v>
      </c>
      <c r="B4" s="19" t="s">
        <v>406</v>
      </c>
    </row>
    <row r="5" spans="1:32" s="15" customFormat="1" ht="11.25" x14ac:dyDescent="0.2">
      <c r="A5" s="18" t="s">
        <v>211</v>
      </c>
      <c r="B5" s="20" t="s">
        <v>212</v>
      </c>
    </row>
    <row r="6" spans="1:32" ht="15" customHeight="1" x14ac:dyDescent="0.25"/>
    <row r="7" spans="1:32" ht="15" customHeight="1" x14ac:dyDescent="0.25">
      <c r="A7" s="23"/>
      <c r="B7" s="21" t="s">
        <v>213</v>
      </c>
      <c r="C7" s="21" t="s">
        <v>214</v>
      </c>
      <c r="D7" s="21" t="s">
        <v>215</v>
      </c>
      <c r="E7" s="21" t="s">
        <v>216</v>
      </c>
      <c r="F7" s="21" t="s">
        <v>217</v>
      </c>
      <c r="G7" s="21" t="s">
        <v>218</v>
      </c>
      <c r="H7" s="21" t="s">
        <v>219</v>
      </c>
      <c r="I7" s="21" t="s">
        <v>220</v>
      </c>
      <c r="J7" s="21" t="s">
        <v>221</v>
      </c>
      <c r="K7" s="21" t="s">
        <v>222</v>
      </c>
      <c r="L7" s="21" t="s">
        <v>223</v>
      </c>
      <c r="M7" s="21" t="s">
        <v>224</v>
      </c>
      <c r="N7" s="21" t="s">
        <v>225</v>
      </c>
      <c r="O7" s="21" t="s">
        <v>226</v>
      </c>
      <c r="P7" s="21" t="s">
        <v>227</v>
      </c>
      <c r="Q7" s="21" t="s">
        <v>228</v>
      </c>
      <c r="R7" s="21" t="s">
        <v>229</v>
      </c>
      <c r="S7" s="21" t="s">
        <v>230</v>
      </c>
      <c r="T7" s="21" t="s">
        <v>231</v>
      </c>
      <c r="U7" s="21" t="s">
        <v>232</v>
      </c>
      <c r="V7" s="21" t="s">
        <v>233</v>
      </c>
      <c r="W7" s="21" t="s">
        <v>234</v>
      </c>
      <c r="X7" s="21" t="s">
        <v>235</v>
      </c>
      <c r="Y7" s="21" t="s">
        <v>236</v>
      </c>
      <c r="Z7" s="21" t="s">
        <v>237</v>
      </c>
      <c r="AA7" s="21" t="s">
        <v>445</v>
      </c>
      <c r="AB7" s="21" t="s">
        <v>446</v>
      </c>
      <c r="AC7" s="21" t="s">
        <v>447</v>
      </c>
      <c r="AD7" s="21" t="s">
        <v>448</v>
      </c>
      <c r="AE7" s="21" t="s">
        <v>449</v>
      </c>
      <c r="AF7" s="21" t="s">
        <v>450</v>
      </c>
    </row>
    <row r="8" spans="1:32" ht="15" customHeight="1" thickBot="1" x14ac:dyDescent="0.3">
      <c r="A8" s="24" t="s">
        <v>207</v>
      </c>
      <c r="B8" s="22" t="s">
        <v>62</v>
      </c>
      <c r="C8" s="22" t="s">
        <v>62</v>
      </c>
      <c r="D8" s="22" t="s">
        <v>62</v>
      </c>
      <c r="E8" s="22" t="s">
        <v>62</v>
      </c>
      <c r="F8" s="22" t="s">
        <v>62</v>
      </c>
      <c r="G8" s="22" t="s">
        <v>62</v>
      </c>
      <c r="H8" s="22" t="s">
        <v>62</v>
      </c>
      <c r="I8" s="22" t="s">
        <v>62</v>
      </c>
      <c r="J8" s="22" t="s">
        <v>62</v>
      </c>
      <c r="K8" s="22" t="s">
        <v>62</v>
      </c>
      <c r="L8" s="22" t="s">
        <v>62</v>
      </c>
      <c r="M8" s="22" t="s">
        <v>62</v>
      </c>
      <c r="N8" s="22" t="s">
        <v>62</v>
      </c>
      <c r="O8" s="22" t="s">
        <v>62</v>
      </c>
      <c r="P8" s="22" t="s">
        <v>62</v>
      </c>
      <c r="Q8" s="22" t="s">
        <v>62</v>
      </c>
      <c r="R8" s="22" t="s">
        <v>62</v>
      </c>
      <c r="S8" s="22" t="s">
        <v>62</v>
      </c>
      <c r="T8" s="22" t="s">
        <v>62</v>
      </c>
      <c r="U8" s="22" t="s">
        <v>62</v>
      </c>
      <c r="V8" s="22" t="s">
        <v>62</v>
      </c>
      <c r="W8" s="22" t="s">
        <v>62</v>
      </c>
      <c r="X8" s="22" t="s">
        <v>62</v>
      </c>
      <c r="Y8" s="22" t="s">
        <v>62</v>
      </c>
      <c r="Z8" s="22" t="s">
        <v>62</v>
      </c>
      <c r="AA8" s="22" t="s">
        <v>62</v>
      </c>
      <c r="AB8" s="22" t="s">
        <v>62</v>
      </c>
      <c r="AC8" s="22" t="s">
        <v>62</v>
      </c>
      <c r="AD8" s="22" t="s">
        <v>62</v>
      </c>
      <c r="AE8" s="22" t="s">
        <v>62</v>
      </c>
      <c r="AF8" s="22" t="s">
        <v>62</v>
      </c>
    </row>
    <row r="9" spans="1:32" ht="15" customHeight="1" thickTop="1" x14ac:dyDescent="0.25">
      <c r="A9" s="21" t="s">
        <v>238</v>
      </c>
      <c r="B9" s="25">
        <f>_xll.StatMean(ST_1984)</f>
        <v>66.184313725490185</v>
      </c>
      <c r="C9" s="25">
        <f>_xll.StatMean(ST_1985)</f>
        <v>65.876470588235293</v>
      </c>
      <c r="D9" s="25">
        <f>_xll.StatMean(ST_1986)</f>
        <v>65.452941176470588</v>
      </c>
      <c r="E9" s="25">
        <f>_xll.StatMean(ST_1987)</f>
        <v>65.509803921568633</v>
      </c>
      <c r="F9" s="25">
        <f>_xll.StatMean(ST_1988)</f>
        <v>65.405882352941163</v>
      </c>
      <c r="G9" s="25">
        <f>_xll.StatMean(ST_1989)</f>
        <v>65.47058823529413</v>
      </c>
      <c r="H9" s="25">
        <f>_xll.StatMean(ST_1990)</f>
        <v>65.450980392156865</v>
      </c>
      <c r="I9" s="25">
        <f>_xll.StatMean(ST_1991)</f>
        <v>65.533333333333317</v>
      </c>
      <c r="J9" s="25">
        <f>_xll.StatMean(ST_1992)</f>
        <v>65.580392156862757</v>
      </c>
      <c r="K9" s="25">
        <f>_xll.StatMean(ST_1993)</f>
        <v>65.325490196078434</v>
      </c>
      <c r="L9" s="25">
        <f>_xll.StatMean(ST_1994)</f>
        <v>65.258823529411771</v>
      </c>
      <c r="M9" s="25">
        <f>_xll.StatMean(ST_1995)</f>
        <v>66.23921568627452</v>
      </c>
      <c r="N9" s="25">
        <f>_xll.StatMean(ST_1996)</f>
        <v>66.843137254901961</v>
      </c>
      <c r="O9" s="25">
        <f>_xll.StatMean(ST_1997)</f>
        <v>67.14901960784313</v>
      </c>
      <c r="P9" s="25">
        <f>_xll.StatMean(ST_1998)</f>
        <v>67.843137254901976</v>
      </c>
      <c r="Q9" s="25">
        <f>_xll.StatMean(ST_1999)</f>
        <v>68.637254901960773</v>
      </c>
      <c r="R9" s="25">
        <f>_xll.StatMean(ST_2000)</f>
        <v>69.052941176470583</v>
      </c>
      <c r="S9" s="25">
        <f>_xll.StatMean(ST_2001)</f>
        <v>69.352941176470594</v>
      </c>
      <c r="T9" s="25">
        <f>_xll.StatMean(ST_2002)</f>
        <v>69.462745098039221</v>
      </c>
      <c r="U9" s="25">
        <f>_xll.StatMean(ST_2003)</f>
        <v>69.90000000000002</v>
      </c>
      <c r="V9" s="25">
        <f>_xll.StatMean(ST_2004)</f>
        <v>70.458823529411788</v>
      </c>
      <c r="W9" s="25">
        <f>_xll.StatMean(ST_2005)</f>
        <v>70.278431372549036</v>
      </c>
      <c r="X9" s="25">
        <f>_xll.StatMean(ST_2006)</f>
        <v>70.217647058823502</v>
      </c>
      <c r="Y9" s="25">
        <f>_xll.StatMean(ST_2007)</f>
        <v>69.619607843137274</v>
      </c>
      <c r="Z9" s="25">
        <f>_xll.StatMean(ST_2008)</f>
        <v>69.552941176470597</v>
      </c>
      <c r="AA9" s="25">
        <f>_xll.StatMean(ST_2009)</f>
        <v>69.226960784313718</v>
      </c>
      <c r="AB9" s="25">
        <f>_xll.StatMean(ST_2010)</f>
        <v>68.588725490196083</v>
      </c>
      <c r="AC9" s="25">
        <f>_xll.StatMean(ST_2011)</f>
        <v>67.99166666666666</v>
      </c>
      <c r="AD9" s="25">
        <f>_xll.StatMean(ST_2012)</f>
        <v>67.289705882352933</v>
      </c>
      <c r="AE9" s="25">
        <f>_xll.StatMean(ST_2013)</f>
        <v>67.08480392156865</v>
      </c>
      <c r="AF9" s="25">
        <f>_xll.StatMean(ST_2014)</f>
        <v>66.420588235294119</v>
      </c>
    </row>
    <row r="10" spans="1:32" ht="15" customHeight="1" x14ac:dyDescent="0.25">
      <c r="A10" s="21" t="s">
        <v>239</v>
      </c>
      <c r="B10" s="25">
        <f>_xll.StatStdDev(ST_1984)</f>
        <v>6.7308653990113223</v>
      </c>
      <c r="C10" s="25">
        <f>_xll.StatStdDev(ST_1985)</f>
        <v>6.7344068257061558</v>
      </c>
      <c r="D10" s="25">
        <f>_xll.StatStdDev(ST_1986)</f>
        <v>6.8665669134197334</v>
      </c>
      <c r="E10" s="25">
        <f>_xll.StatStdDev(ST_1987)</f>
        <v>6.7459396647749763</v>
      </c>
      <c r="F10" s="25">
        <f>_xll.StatStdDev(ST_1988)</f>
        <v>6.6203447573281515</v>
      </c>
      <c r="G10" s="25">
        <f>_xll.StatStdDev(ST_1989)</f>
        <v>6.4425862545299939</v>
      </c>
      <c r="H10" s="25">
        <f>_xll.StatStdDev(ST_1990)</f>
        <v>6.5483852222977728</v>
      </c>
      <c r="I10" s="25">
        <f>_xll.StatStdDev(ST_1991)</f>
        <v>6.6842401712286392</v>
      </c>
      <c r="J10" s="25">
        <f>_xll.StatStdDev(ST_1992)</f>
        <v>6.8074083058927251</v>
      </c>
      <c r="K10" s="25">
        <f>_xll.StatStdDev(ST_1993)</f>
        <v>6.6996072463169032</v>
      </c>
      <c r="L10" s="25">
        <f>_xll.StatStdDev(ST_1994)</f>
        <v>6.3664488208290262</v>
      </c>
      <c r="M10" s="25">
        <f>_xll.StatStdDev(ST_1995)</f>
        <v>6.5405222553362679</v>
      </c>
      <c r="N10" s="25">
        <f>_xll.StatStdDev(ST_1996)</f>
        <v>6.6880267613687305</v>
      </c>
      <c r="O10" s="25">
        <f>_xll.StatStdDev(ST_1997)</f>
        <v>6.5489349530750305</v>
      </c>
      <c r="P10" s="25">
        <f>_xll.StatStdDev(ST_1998)</f>
        <v>6.7003061094836811</v>
      </c>
      <c r="Q10" s="25">
        <f>_xll.StatStdDev(ST_1999)</f>
        <v>6.7896969235545042</v>
      </c>
      <c r="R10" s="25">
        <f>_xll.StatStdDev(ST_2000)</f>
        <v>6.5897603276955836</v>
      </c>
      <c r="S10" s="25">
        <f>_xll.StatStdDev(ST_2001)</f>
        <v>6.503886620819169</v>
      </c>
      <c r="T10" s="25">
        <f>_xll.StatStdDev(ST_2002)</f>
        <v>6.2209632946775608</v>
      </c>
      <c r="U10" s="25">
        <f>_xll.StatStdDev(ST_2003)</f>
        <v>6.2704385811520407</v>
      </c>
      <c r="V10" s="25">
        <f>_xll.StatStdDev(ST_2004)</f>
        <v>5.9899307665644432</v>
      </c>
      <c r="W10" s="25">
        <f>_xll.StatStdDev(ST_2005)</f>
        <v>5.9227126800306689</v>
      </c>
      <c r="X10" s="25">
        <f>_xll.StatStdDev(ST_2006)</f>
        <v>5.6141145653558917</v>
      </c>
      <c r="Y10" s="25">
        <f>_xll.StatStdDev(ST_2007)</f>
        <v>5.4861651308666648</v>
      </c>
      <c r="Z10" s="25">
        <f>_xll.StatStdDev(ST_2008)</f>
        <v>5.883956252086735</v>
      </c>
      <c r="AA10" s="25">
        <f>_xll.StatStdDev(ST_2009)</f>
        <v>5.8997877994408734</v>
      </c>
      <c r="AB10" s="25">
        <f>_xll.StatStdDev(ST_2010)</f>
        <v>5.872131882301117</v>
      </c>
      <c r="AC10" s="25">
        <f>_xll.StatStdDev(ST_2011)</f>
        <v>6.0595661285826941</v>
      </c>
      <c r="AD10" s="25">
        <f>_xll.StatStdDev(ST_2012)</f>
        <v>5.8932889299409643</v>
      </c>
      <c r="AE10" s="25">
        <f>_xll.StatStdDev(ST_2013)</f>
        <v>6.0055080518457649</v>
      </c>
      <c r="AF10" s="25">
        <f>_xll.StatStdDev(ST_2014)</f>
        <v>6.0187617204088433</v>
      </c>
    </row>
    <row r="11" spans="1:32" ht="15" customHeight="1" x14ac:dyDescent="0.25">
      <c r="A11" s="21" t="s">
        <v>240</v>
      </c>
      <c r="B11" s="25">
        <f>_xll.StatMedian(ST_1984, 4)</f>
        <v>67.8</v>
      </c>
      <c r="C11" s="25">
        <f>_xll.StatMedian(ST_1985, 4)</f>
        <v>67.900000000000006</v>
      </c>
      <c r="D11" s="25">
        <f>_xll.StatMedian(ST_1986, 4)</f>
        <v>67.599999999999994</v>
      </c>
      <c r="E11" s="25">
        <f>_xll.StatMedian(ST_1987, 4)</f>
        <v>67.2</v>
      </c>
      <c r="F11" s="25">
        <f>_xll.StatMedian(ST_1988, 4)</f>
        <v>66.599999999999994</v>
      </c>
      <c r="G11" s="25">
        <f>_xll.StatMedian(ST_1989, 4)</f>
        <v>67</v>
      </c>
      <c r="H11" s="25">
        <f>_xll.StatMedian(ST_1990, 4)</f>
        <v>67.7</v>
      </c>
      <c r="I11" s="25">
        <f>_xll.StatMedian(ST_1991, 4)</f>
        <v>67.5</v>
      </c>
      <c r="J11" s="25">
        <f>_xll.StatMedian(ST_1992, 4)</f>
        <v>67.400000000000006</v>
      </c>
      <c r="K11" s="25">
        <f>_xll.StatMedian(ST_1993, 4)</f>
        <v>66.5</v>
      </c>
      <c r="L11" s="25">
        <f>_xll.StatMedian(ST_1994, 4)</f>
        <v>66.8</v>
      </c>
      <c r="M11" s="25">
        <f>_xll.StatMedian(ST_1995, 4)</f>
        <v>67.5</v>
      </c>
      <c r="N11" s="25">
        <f>_xll.StatMedian(ST_1996, 4)</f>
        <v>68.2</v>
      </c>
      <c r="O11" s="25">
        <f>_xll.StatMedian(ST_1997, 4)</f>
        <v>68.099999999999994</v>
      </c>
      <c r="P11" s="25">
        <f>_xll.StatMedian(ST_1998, 4)</f>
        <v>69.400000000000006</v>
      </c>
      <c r="Q11" s="25">
        <f>_xll.StatMedian(ST_1999, 4)</f>
        <v>70.3</v>
      </c>
      <c r="R11" s="25">
        <f>_xll.StatMedian(ST_2000, 4)</f>
        <v>70.2</v>
      </c>
      <c r="S11" s="25">
        <f>_xll.StatMedian(ST_2001, 4)</f>
        <v>70.8</v>
      </c>
      <c r="T11" s="25">
        <f>_xll.StatMedian(ST_2002, 4)</f>
        <v>70.3</v>
      </c>
      <c r="U11" s="25">
        <f>_xll.StatMedian(ST_2003, 4)</f>
        <v>71.3</v>
      </c>
      <c r="V11" s="25">
        <f>_xll.StatMedian(ST_2004, 4)</f>
        <v>71.7</v>
      </c>
      <c r="W11" s="25">
        <f>_xll.StatMedian(ST_2005, 4)</f>
        <v>71.2</v>
      </c>
      <c r="X11" s="25">
        <f>_xll.StatMedian(ST_2006, 4)</f>
        <v>71.3</v>
      </c>
      <c r="Y11" s="25">
        <f>_xll.StatMedian(ST_2007, 4)</f>
        <v>70.400000000000006</v>
      </c>
      <c r="Z11" s="25">
        <f>_xll.StatMedian(ST_2008, 4)</f>
        <v>70.400000000000006</v>
      </c>
      <c r="AA11" s="25">
        <f>_xll.StatMedian(ST_2009, 4)</f>
        <v>70.099999999999994</v>
      </c>
      <c r="AB11" s="25">
        <f>_xll.StatMedian(ST_2010, 4)</f>
        <v>69.474999999999994</v>
      </c>
      <c r="AC11" s="25">
        <f>_xll.StatMedian(ST_2011, 4)</f>
        <v>68.975000000000009</v>
      </c>
      <c r="AD11" s="25">
        <f>_xll.StatMedian(ST_2012, 4)</f>
        <v>67.849999999999994</v>
      </c>
      <c r="AE11" s="25">
        <f>_xll.StatMedian(ST_2013, 4)</f>
        <v>67.800000000000011</v>
      </c>
      <c r="AF11" s="25">
        <f>_xll.StatMedian(ST_2014, 4)</f>
        <v>66.75</v>
      </c>
    </row>
    <row r="12" spans="1:32" ht="15" customHeight="1" x14ac:dyDescent="0.25">
      <c r="A12" s="21" t="s">
        <v>241</v>
      </c>
      <c r="B12" s="25">
        <f>_xll.StatMin(ST_1984)</f>
        <v>37.299999999999997</v>
      </c>
      <c r="C12" s="25">
        <f>_xll.StatMin(ST_1985)</f>
        <v>37.4</v>
      </c>
      <c r="D12" s="25">
        <f>_xll.StatMin(ST_1986)</f>
        <v>34.6</v>
      </c>
      <c r="E12" s="25">
        <f>_xll.StatMin(ST_1987)</f>
        <v>35.799999999999997</v>
      </c>
      <c r="F12" s="25">
        <f>_xll.StatMin(ST_1988)</f>
        <v>37.5</v>
      </c>
      <c r="G12" s="25">
        <f>_xll.StatMin(ST_1989)</f>
        <v>38.700000000000003</v>
      </c>
      <c r="H12" s="25">
        <f>_xll.StatMin(ST_1990)</f>
        <v>36.4</v>
      </c>
      <c r="I12" s="25">
        <f>_xll.StatMin(ST_1991)</f>
        <v>35.1</v>
      </c>
      <c r="J12" s="25">
        <f>_xll.StatMin(ST_1992)</f>
        <v>35</v>
      </c>
      <c r="K12" s="25">
        <f>_xll.StatMin(ST_1993)</f>
        <v>35.700000000000003</v>
      </c>
      <c r="L12" s="25">
        <f>_xll.StatMin(ST_1994)</f>
        <v>37.799999999999997</v>
      </c>
      <c r="M12" s="25">
        <f>_xll.StatMin(ST_1995)</f>
        <v>39.200000000000003</v>
      </c>
      <c r="N12" s="25">
        <f>_xll.StatMin(ST_1996)</f>
        <v>40.4</v>
      </c>
      <c r="O12" s="25">
        <f>_xll.StatMin(ST_1997)</f>
        <v>42.5</v>
      </c>
      <c r="P12" s="25">
        <f>_xll.StatMin(ST_1998)</f>
        <v>40.299999999999997</v>
      </c>
      <c r="Q12" s="25">
        <f>_xll.StatMin(ST_1999)</f>
        <v>40</v>
      </c>
      <c r="R12" s="25">
        <f>_xll.StatMin(ST_2000)</f>
        <v>41.9</v>
      </c>
      <c r="S12" s="25">
        <f>_xll.StatMin(ST_2001)</f>
        <v>42.7</v>
      </c>
      <c r="T12" s="25">
        <f>_xll.StatMin(ST_2002)</f>
        <v>44.1</v>
      </c>
      <c r="U12" s="25">
        <f>_xll.StatMin(ST_2003)</f>
        <v>43</v>
      </c>
      <c r="V12" s="25">
        <f>_xll.StatMin(ST_2004)</f>
        <v>45.6</v>
      </c>
      <c r="W12" s="25">
        <f>_xll.StatMin(ST_2005)</f>
        <v>45.8</v>
      </c>
      <c r="X12" s="25">
        <f>_xll.StatMin(ST_2006)</f>
        <v>45.9</v>
      </c>
      <c r="Y12" s="25">
        <f>_xll.StatMin(ST_2007)</f>
        <v>47.2</v>
      </c>
      <c r="Z12" s="25">
        <f>_xll.StatMin(ST_2008)</f>
        <v>44.1</v>
      </c>
      <c r="AA12" s="25">
        <f>_xll.StatMin(ST_2009)</f>
        <v>44.9</v>
      </c>
      <c r="AB12" s="25">
        <f>_xll.StatMin(ST_2010)</f>
        <v>45.625</v>
      </c>
      <c r="AC12" s="25">
        <f>_xll.StatMin(ST_2011)</f>
        <v>44.825000000000003</v>
      </c>
      <c r="AD12" s="25">
        <f>_xll.StatMin(ST_2012)</f>
        <v>44.974999999999994</v>
      </c>
      <c r="AE12" s="25">
        <f>_xll.StatMin(ST_2013)</f>
        <v>44.575000000000003</v>
      </c>
      <c r="AF12" s="25">
        <f>_xll.StatMin(ST_2014)</f>
        <v>41.525000000000006</v>
      </c>
    </row>
    <row r="13" spans="1:32" ht="15" customHeight="1" x14ac:dyDescent="0.25">
      <c r="A13" s="21" t="s">
        <v>242</v>
      </c>
      <c r="B13" s="25">
        <f>_xll.StatMax(ST_1984)</f>
        <v>74.099999999999994</v>
      </c>
      <c r="C13" s="25">
        <f>_xll.StatMax(ST_1985)</f>
        <v>75.900000000000006</v>
      </c>
      <c r="D13" s="25">
        <f>_xll.StatMax(ST_1986)</f>
        <v>76.400000000000006</v>
      </c>
      <c r="E13" s="25">
        <f>_xll.StatMax(ST_1987)</f>
        <v>73.2</v>
      </c>
      <c r="F13" s="25">
        <f>_xll.StatMax(ST_1988)</f>
        <v>73.8</v>
      </c>
      <c r="G13" s="25">
        <f>_xll.StatMax(ST_1989)</f>
        <v>74.8</v>
      </c>
      <c r="H13" s="25">
        <f>_xll.StatMax(ST_1990)</f>
        <v>74.2</v>
      </c>
      <c r="I13" s="25">
        <f>_xll.StatMax(ST_1991)</f>
        <v>74</v>
      </c>
      <c r="J13" s="25">
        <f>_xll.StatMax(ST_1992)</f>
        <v>73.8</v>
      </c>
      <c r="K13" s="25">
        <f>_xll.StatMax(ST_1993)</f>
        <v>74.099999999999994</v>
      </c>
      <c r="L13" s="25">
        <f>_xll.StatMax(ST_1994)</f>
        <v>73.7</v>
      </c>
      <c r="M13" s="25">
        <f>_xll.StatMax(ST_1995)</f>
        <v>76.7</v>
      </c>
      <c r="N13" s="25">
        <f>_xll.StatMax(ST_1996)</f>
        <v>76.5</v>
      </c>
      <c r="O13" s="25">
        <f>_xll.StatMax(ST_1997)</f>
        <v>75.400000000000006</v>
      </c>
      <c r="P13" s="25">
        <f>_xll.StatMax(ST_1998)</f>
        <v>76.599999999999994</v>
      </c>
      <c r="Q13" s="25">
        <f>_xll.StatMax(ST_1999)</f>
        <v>77.400000000000006</v>
      </c>
      <c r="R13" s="25">
        <f>_xll.StatMax(ST_2000)</f>
        <v>77.2</v>
      </c>
      <c r="S13" s="25">
        <f>_xll.StatMax(ST_2001)</f>
        <v>77.099999999999994</v>
      </c>
      <c r="T13" s="25">
        <f>_xll.StatMax(ST_2002)</f>
        <v>77.5</v>
      </c>
      <c r="U13" s="25">
        <f>_xll.StatMax(ST_2003)</f>
        <v>78.099999999999994</v>
      </c>
      <c r="V13" s="25">
        <f>_xll.StatMax(ST_2004)</f>
        <v>80.3</v>
      </c>
      <c r="W13" s="25">
        <f>_xll.StatMax(ST_2005)</f>
        <v>81.3</v>
      </c>
      <c r="X13" s="25">
        <f>_xll.StatMax(ST_2006)</f>
        <v>78.400000000000006</v>
      </c>
      <c r="Y13" s="25">
        <f>_xll.StatMax(ST_2007)</f>
        <v>77.599999999999994</v>
      </c>
      <c r="Z13" s="25">
        <f>_xll.StatMax(ST_2008)</f>
        <v>77.8</v>
      </c>
      <c r="AA13" s="25">
        <f>_xll.StatMax(ST_2009)</f>
        <v>78.724999999999994</v>
      </c>
      <c r="AB13" s="25">
        <f>_xll.StatMax(ST_2010)</f>
        <v>79</v>
      </c>
      <c r="AC13" s="25">
        <f>_xll.StatMax(ST_2011)</f>
        <v>78.724999999999994</v>
      </c>
      <c r="AD13" s="25">
        <f>_xll.StatMax(ST_2012)</f>
        <v>75.775000000000006</v>
      </c>
      <c r="AE13" s="25">
        <f>_xll.StatMax(ST_2013)</f>
        <v>76.775000000000006</v>
      </c>
      <c r="AF13" s="25">
        <f>_xll.StatMax(ST_2014)</f>
        <v>75.574999999999989</v>
      </c>
    </row>
    <row r="14" spans="1:32" ht="15" customHeight="1" x14ac:dyDescent="0.25">
      <c r="A14" s="21" t="s">
        <v>243</v>
      </c>
      <c r="B14" s="25">
        <f>_xll.StatQuartile(ST_1984, 1, 4)</f>
        <v>63.6</v>
      </c>
      <c r="C14" s="25">
        <f>_xll.StatQuartile(ST_1985, 1, 4)</f>
        <v>62.7</v>
      </c>
      <c r="D14" s="25">
        <f>_xll.StatQuartile(ST_1986, 1, 4)</f>
        <v>62.8</v>
      </c>
      <c r="E14" s="25">
        <f>_xll.StatQuartile(ST_1987, 1, 4)</f>
        <v>63.3</v>
      </c>
      <c r="F14" s="25">
        <f>_xll.StatQuartile(ST_1988, 1, 4)</f>
        <v>64</v>
      </c>
      <c r="G14" s="25">
        <f>_xll.StatQuartile(ST_1989, 1, 4)</f>
        <v>63.7</v>
      </c>
      <c r="H14" s="25">
        <f>_xll.StatQuartile(ST_1990, 1, 4)</f>
        <v>64</v>
      </c>
      <c r="I14" s="25">
        <f>_xll.StatQuartile(ST_1991, 1, 4)</f>
        <v>63.8</v>
      </c>
      <c r="J14" s="25">
        <f>_xll.StatQuartile(ST_1992, 1, 4)</f>
        <v>63.7</v>
      </c>
      <c r="K14" s="25">
        <f>_xll.StatQuartile(ST_1993, 1, 4)</f>
        <v>63.1</v>
      </c>
      <c r="L14" s="25">
        <f>_xll.StatQuartile(ST_1994, 1, 4)</f>
        <v>63.4</v>
      </c>
      <c r="M14" s="25">
        <f>_xll.StatQuartile(ST_1995, 1, 4)</f>
        <v>64.599999999999994</v>
      </c>
      <c r="N14" s="25">
        <f>_xll.StatQuartile(ST_1996, 1, 4)</f>
        <v>64.5</v>
      </c>
      <c r="O14" s="25">
        <f>_xll.StatQuartile(ST_1997, 1, 4)</f>
        <v>64.099999999999994</v>
      </c>
      <c r="P14" s="25">
        <f>_xll.StatQuartile(ST_1998, 1, 4)</f>
        <v>65.2</v>
      </c>
      <c r="Q14" s="25">
        <f>_xll.StatQuartile(ST_1999, 1, 4)</f>
        <v>66.3</v>
      </c>
      <c r="R14" s="25">
        <f>_xll.StatQuartile(ST_2000, 1, 4)</f>
        <v>67.900000000000006</v>
      </c>
      <c r="S14" s="25">
        <f>_xll.StatQuartile(ST_2001, 1, 4)</f>
        <v>67.099999999999994</v>
      </c>
      <c r="T14" s="25">
        <f>_xll.StatQuartile(ST_2002, 1, 4)</f>
        <v>67.099999999999994</v>
      </c>
      <c r="U14" s="25">
        <f>_xll.StatQuartile(ST_2003, 1, 4)</f>
        <v>68</v>
      </c>
      <c r="V14" s="25">
        <f>_xll.StatQuartile(ST_2004, 1, 4)</f>
        <v>68.8</v>
      </c>
      <c r="W14" s="25">
        <f>_xll.StatQuartile(ST_2005, 1, 4)</f>
        <v>68.400000000000006</v>
      </c>
      <c r="X14" s="25">
        <f>_xll.StatQuartile(ST_2006, 1, 4)</f>
        <v>68.3</v>
      </c>
      <c r="Y14" s="25">
        <f>_xll.StatQuartile(ST_2007, 1, 4)</f>
        <v>67.3</v>
      </c>
      <c r="Z14" s="25">
        <f>_xll.StatQuartile(ST_2008, 1, 4)</f>
        <v>67.3</v>
      </c>
      <c r="AA14" s="25">
        <f>_xll.StatQuartile(ST_2009, 1, 4)</f>
        <v>67.375</v>
      </c>
      <c r="AB14" s="25">
        <f>_xll.StatQuartile(ST_2010, 1, 4)</f>
        <v>66.625</v>
      </c>
      <c r="AC14" s="25">
        <f>_xll.StatQuartile(ST_2011, 1, 4)</f>
        <v>66</v>
      </c>
      <c r="AD14" s="25">
        <f>_xll.StatQuartile(ST_2012, 1, 4)</f>
        <v>65.3</v>
      </c>
      <c r="AE14" s="25">
        <f>_xll.StatQuartile(ST_2013, 1, 4)</f>
        <v>64.575000000000003</v>
      </c>
      <c r="AF14" s="25">
        <f>_xll.StatQuartile(ST_2014, 1, 4)</f>
        <v>64.600000000000009</v>
      </c>
    </row>
    <row r="15" spans="1:32" ht="15" customHeight="1" x14ac:dyDescent="0.25">
      <c r="A15" s="21" t="s">
        <v>244</v>
      </c>
      <c r="B15" s="25">
        <f>_xll.StatQuartile(ST_1984, 3, 4)</f>
        <v>70.099999999999994</v>
      </c>
      <c r="C15" s="25">
        <f>_xll.StatQuartile(ST_1985, 3, 4)</f>
        <v>70</v>
      </c>
      <c r="D15" s="25">
        <f>_xll.StatQuartile(ST_1986, 3, 4)</f>
        <v>69.7</v>
      </c>
      <c r="E15" s="25">
        <f>_xll.StatQuartile(ST_1987, 3, 4)</f>
        <v>69</v>
      </c>
      <c r="F15" s="25">
        <f>_xll.StatQuartile(ST_1988, 3, 4)</f>
        <v>69.099999999999994</v>
      </c>
      <c r="G15" s="25">
        <f>_xll.StatQuartile(ST_1989, 3, 4)</f>
        <v>69.599999999999994</v>
      </c>
      <c r="H15" s="25">
        <f>_xll.StatQuartile(ST_1990, 3, 4)</f>
        <v>69.099999999999994</v>
      </c>
      <c r="I15" s="25">
        <f>_xll.StatQuartile(ST_1991, 3, 4)</f>
        <v>69.5</v>
      </c>
      <c r="J15" s="25">
        <f>_xll.StatQuartile(ST_1992, 3, 4)</f>
        <v>70</v>
      </c>
      <c r="K15" s="25">
        <f>_xll.StatQuartile(ST_1993, 3, 4)</f>
        <v>69.099999999999994</v>
      </c>
      <c r="L15" s="25">
        <f>_xll.StatQuartile(ST_1994, 3, 4)</f>
        <v>69.2</v>
      </c>
      <c r="M15" s="25">
        <f>_xll.StatQuartile(ST_1995, 3, 4)</f>
        <v>71</v>
      </c>
      <c r="N15" s="25">
        <f>_xll.StatQuartile(ST_1996, 3, 4)</f>
        <v>71.400000000000006</v>
      </c>
      <c r="O15" s="25">
        <f>_xll.StatQuartile(ST_1997, 3, 4)</f>
        <v>71.3</v>
      </c>
      <c r="P15" s="25">
        <f>_xll.StatQuartile(ST_1998, 3, 4)</f>
        <v>72.099999999999994</v>
      </c>
      <c r="Q15" s="25">
        <f>_xll.StatQuartile(ST_1999, 3, 4)</f>
        <v>72.900000000000006</v>
      </c>
      <c r="R15" s="25">
        <f>_xll.StatQuartile(ST_2000, 3, 4)</f>
        <v>73.400000000000006</v>
      </c>
      <c r="S15" s="25">
        <f>_xll.StatQuartile(ST_2001, 3, 4)</f>
        <v>73.900000000000006</v>
      </c>
      <c r="T15" s="25">
        <f>_xll.StatQuartile(ST_2002, 3, 4)</f>
        <v>73.7</v>
      </c>
      <c r="U15" s="25">
        <f>_xll.StatQuartile(ST_2003, 3, 4)</f>
        <v>73.7</v>
      </c>
      <c r="V15" s="25">
        <f>_xll.StatQuartile(ST_2004, 3, 4)</f>
        <v>73.400000000000006</v>
      </c>
      <c r="W15" s="25">
        <f>_xll.StatQuartile(ST_2005, 3, 4)</f>
        <v>73.900000000000006</v>
      </c>
      <c r="X15" s="25">
        <f>_xll.StatQuartile(ST_2006, 3, 4)</f>
        <v>74</v>
      </c>
      <c r="Y15" s="25">
        <f>_xll.StatQuartile(ST_2007, 3, 4)</f>
        <v>73.5</v>
      </c>
      <c r="Z15" s="25">
        <f>_xll.StatQuartile(ST_2008, 3, 4)</f>
        <v>73.3</v>
      </c>
      <c r="AA15" s="25">
        <f>_xll.StatQuartile(ST_2009, 3, 4)</f>
        <v>72.900000000000006</v>
      </c>
      <c r="AB15" s="25">
        <f>_xll.StatQuartile(ST_2010, 3, 4)</f>
        <v>72.349999999999994</v>
      </c>
      <c r="AC15" s="25">
        <f>_xll.StatQuartile(ST_2011, 3, 4)</f>
        <v>71.275000000000006</v>
      </c>
      <c r="AD15" s="25">
        <f>_xll.StatQuartile(ST_2012, 3, 4)</f>
        <v>71.125</v>
      </c>
      <c r="AE15" s="25">
        <f>_xll.StatQuartile(ST_2013, 3, 4)</f>
        <v>71.5</v>
      </c>
      <c r="AF15" s="25">
        <f>_xll.StatQuartile(ST_2014, 3, 4)</f>
        <v>70.525000000000006</v>
      </c>
    </row>
    <row r="16" spans="1:32" ht="15" customHeight="1" x14ac:dyDescent="0.25"/>
    <row r="17" spans="8:8" ht="15" customHeight="1" x14ac:dyDescent="0.25">
      <c r="H17" s="26"/>
    </row>
    <row r="18" spans="8:8" ht="15" customHeight="1" x14ac:dyDescent="0.25"/>
  </sheetData>
  <pageMargins left="0.7" right="0.7" top="0.75" bottom="0.75" header="0.3" footer="0.3"/>
  <pageSetup orientation="portrait"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2"/>
  <sheetViews>
    <sheetView workbookViewId="0"/>
  </sheetViews>
  <sheetFormatPr defaultRowHeight="15" x14ac:dyDescent="0.25"/>
  <cols>
    <col min="1" max="1" width="14.85546875" style="2" customWidth="1"/>
    <col min="2" max="2" width="13.28515625" style="2" customWidth="1"/>
    <col min="3" max="3" width="13" style="2" customWidth="1"/>
    <col min="4" max="14" width="11.28515625" style="2" bestFit="1" customWidth="1"/>
    <col min="15" max="18" width="11.28515625" style="3" bestFit="1" customWidth="1"/>
    <col min="19" max="21" width="11.28515625" style="4" bestFit="1" customWidth="1"/>
    <col min="22" max="23" width="11.85546875" style="2" bestFit="1" customWidth="1"/>
    <col min="24" max="24" width="12.28515625" style="2" bestFit="1" customWidth="1"/>
    <col min="25" max="25" width="11.85546875" style="2" bestFit="1" customWidth="1"/>
    <col min="26" max="26" width="12.28515625" style="2" bestFit="1" customWidth="1"/>
    <col min="27" max="256" width="9.140625" style="2"/>
    <col min="257" max="257" width="14.85546875" style="2" customWidth="1"/>
    <col min="258" max="258" width="13.28515625" style="2" customWidth="1"/>
    <col min="259" max="259" width="13" style="2" customWidth="1"/>
    <col min="260" max="277" width="11.28515625" style="2" bestFit="1" customWidth="1"/>
    <col min="278" max="512" width="9.140625" style="2"/>
    <col min="513" max="513" width="14.85546875" style="2" customWidth="1"/>
    <col min="514" max="514" width="13.28515625" style="2" customWidth="1"/>
    <col min="515" max="515" width="13" style="2" customWidth="1"/>
    <col min="516" max="533" width="11.28515625" style="2" bestFit="1" customWidth="1"/>
    <col min="534" max="768" width="9.140625" style="2"/>
    <col min="769" max="769" width="14.85546875" style="2" customWidth="1"/>
    <col min="770" max="770" width="13.28515625" style="2" customWidth="1"/>
    <col min="771" max="771" width="13" style="2" customWidth="1"/>
    <col min="772" max="789" width="11.28515625" style="2" bestFit="1" customWidth="1"/>
    <col min="790" max="1024" width="9.140625" style="2"/>
    <col min="1025" max="1025" width="14.85546875" style="2" customWidth="1"/>
    <col min="1026" max="1026" width="13.28515625" style="2" customWidth="1"/>
    <col min="1027" max="1027" width="13" style="2" customWidth="1"/>
    <col min="1028" max="1045" width="11.28515625" style="2" bestFit="1" customWidth="1"/>
    <col min="1046" max="1280" width="9.140625" style="2"/>
    <col min="1281" max="1281" width="14.85546875" style="2" customWidth="1"/>
    <col min="1282" max="1282" width="13.28515625" style="2" customWidth="1"/>
    <col min="1283" max="1283" width="13" style="2" customWidth="1"/>
    <col min="1284" max="1301" width="11.28515625" style="2" bestFit="1" customWidth="1"/>
    <col min="1302" max="1536" width="9.140625" style="2"/>
    <col min="1537" max="1537" width="14.85546875" style="2" customWidth="1"/>
    <col min="1538" max="1538" width="13.28515625" style="2" customWidth="1"/>
    <col min="1539" max="1539" width="13" style="2" customWidth="1"/>
    <col min="1540" max="1557" width="11.28515625" style="2" bestFit="1" customWidth="1"/>
    <col min="1558" max="1792" width="9.140625" style="2"/>
    <col min="1793" max="1793" width="14.85546875" style="2" customWidth="1"/>
    <col min="1794" max="1794" width="13.28515625" style="2" customWidth="1"/>
    <col min="1795" max="1795" width="13" style="2" customWidth="1"/>
    <col min="1796" max="1813" width="11.28515625" style="2" bestFit="1" customWidth="1"/>
    <col min="1814" max="2048" width="9.140625" style="2"/>
    <col min="2049" max="2049" width="14.85546875" style="2" customWidth="1"/>
    <col min="2050" max="2050" width="13.28515625" style="2" customWidth="1"/>
    <col min="2051" max="2051" width="13" style="2" customWidth="1"/>
    <col min="2052" max="2069" width="11.28515625" style="2" bestFit="1" customWidth="1"/>
    <col min="2070" max="2304" width="9.140625" style="2"/>
    <col min="2305" max="2305" width="14.85546875" style="2" customWidth="1"/>
    <col min="2306" max="2306" width="13.28515625" style="2" customWidth="1"/>
    <col min="2307" max="2307" width="13" style="2" customWidth="1"/>
    <col min="2308" max="2325" width="11.28515625" style="2" bestFit="1" customWidth="1"/>
    <col min="2326" max="2560" width="9.140625" style="2"/>
    <col min="2561" max="2561" width="14.85546875" style="2" customWidth="1"/>
    <col min="2562" max="2562" width="13.28515625" style="2" customWidth="1"/>
    <col min="2563" max="2563" width="13" style="2" customWidth="1"/>
    <col min="2564" max="2581" width="11.28515625" style="2" bestFit="1" customWidth="1"/>
    <col min="2582" max="2816" width="9.140625" style="2"/>
    <col min="2817" max="2817" width="14.85546875" style="2" customWidth="1"/>
    <col min="2818" max="2818" width="13.28515625" style="2" customWidth="1"/>
    <col min="2819" max="2819" width="13" style="2" customWidth="1"/>
    <col min="2820" max="2837" width="11.28515625" style="2" bestFit="1" customWidth="1"/>
    <col min="2838" max="3072" width="9.140625" style="2"/>
    <col min="3073" max="3073" width="14.85546875" style="2" customWidth="1"/>
    <col min="3074" max="3074" width="13.28515625" style="2" customWidth="1"/>
    <col min="3075" max="3075" width="13" style="2" customWidth="1"/>
    <col min="3076" max="3093" width="11.28515625" style="2" bestFit="1" customWidth="1"/>
    <col min="3094" max="3328" width="9.140625" style="2"/>
    <col min="3329" max="3329" width="14.85546875" style="2" customWidth="1"/>
    <col min="3330" max="3330" width="13.28515625" style="2" customWidth="1"/>
    <col min="3331" max="3331" width="13" style="2" customWidth="1"/>
    <col min="3332" max="3349" width="11.28515625" style="2" bestFit="1" customWidth="1"/>
    <col min="3350" max="3584" width="9.140625" style="2"/>
    <col min="3585" max="3585" width="14.85546875" style="2" customWidth="1"/>
    <col min="3586" max="3586" width="13.28515625" style="2" customWidth="1"/>
    <col min="3587" max="3587" width="13" style="2" customWidth="1"/>
    <col min="3588" max="3605" width="11.28515625" style="2" bestFit="1" customWidth="1"/>
    <col min="3606" max="3840" width="9.140625" style="2"/>
    <col min="3841" max="3841" width="14.85546875" style="2" customWidth="1"/>
    <col min="3842" max="3842" width="13.28515625" style="2" customWidth="1"/>
    <col min="3843" max="3843" width="13" style="2" customWidth="1"/>
    <col min="3844" max="3861" width="11.28515625" style="2" bestFit="1" customWidth="1"/>
    <col min="3862" max="4096" width="9.140625" style="2"/>
    <col min="4097" max="4097" width="14.85546875" style="2" customWidth="1"/>
    <col min="4098" max="4098" width="13.28515625" style="2" customWidth="1"/>
    <col min="4099" max="4099" width="13" style="2" customWidth="1"/>
    <col min="4100" max="4117" width="11.28515625" style="2" bestFit="1" customWidth="1"/>
    <col min="4118" max="4352" width="9.140625" style="2"/>
    <col min="4353" max="4353" width="14.85546875" style="2" customWidth="1"/>
    <col min="4354" max="4354" width="13.28515625" style="2" customWidth="1"/>
    <col min="4355" max="4355" width="13" style="2" customWidth="1"/>
    <col min="4356" max="4373" width="11.28515625" style="2" bestFit="1" customWidth="1"/>
    <col min="4374" max="4608" width="9.140625" style="2"/>
    <col min="4609" max="4609" width="14.85546875" style="2" customWidth="1"/>
    <col min="4610" max="4610" width="13.28515625" style="2" customWidth="1"/>
    <col min="4611" max="4611" width="13" style="2" customWidth="1"/>
    <col min="4612" max="4629" width="11.28515625" style="2" bestFit="1" customWidth="1"/>
    <col min="4630" max="4864" width="9.140625" style="2"/>
    <col min="4865" max="4865" width="14.85546875" style="2" customWidth="1"/>
    <col min="4866" max="4866" width="13.28515625" style="2" customWidth="1"/>
    <col min="4867" max="4867" width="13" style="2" customWidth="1"/>
    <col min="4868" max="4885" width="11.28515625" style="2" bestFit="1" customWidth="1"/>
    <col min="4886" max="5120" width="9.140625" style="2"/>
    <col min="5121" max="5121" width="14.85546875" style="2" customWidth="1"/>
    <col min="5122" max="5122" width="13.28515625" style="2" customWidth="1"/>
    <col min="5123" max="5123" width="13" style="2" customWidth="1"/>
    <col min="5124" max="5141" width="11.28515625" style="2" bestFit="1" customWidth="1"/>
    <col min="5142" max="5376" width="9.140625" style="2"/>
    <col min="5377" max="5377" width="14.85546875" style="2" customWidth="1"/>
    <col min="5378" max="5378" width="13.28515625" style="2" customWidth="1"/>
    <col min="5379" max="5379" width="13" style="2" customWidth="1"/>
    <col min="5380" max="5397" width="11.28515625" style="2" bestFit="1" customWidth="1"/>
    <col min="5398" max="5632" width="9.140625" style="2"/>
    <col min="5633" max="5633" width="14.85546875" style="2" customWidth="1"/>
    <col min="5634" max="5634" width="13.28515625" style="2" customWidth="1"/>
    <col min="5635" max="5635" width="13" style="2" customWidth="1"/>
    <col min="5636" max="5653" width="11.28515625" style="2" bestFit="1" customWidth="1"/>
    <col min="5654" max="5888" width="9.140625" style="2"/>
    <col min="5889" max="5889" width="14.85546875" style="2" customWidth="1"/>
    <col min="5890" max="5890" width="13.28515625" style="2" customWidth="1"/>
    <col min="5891" max="5891" width="13" style="2" customWidth="1"/>
    <col min="5892" max="5909" width="11.28515625" style="2" bestFit="1" customWidth="1"/>
    <col min="5910" max="6144" width="9.140625" style="2"/>
    <col min="6145" max="6145" width="14.85546875" style="2" customWidth="1"/>
    <col min="6146" max="6146" width="13.28515625" style="2" customWidth="1"/>
    <col min="6147" max="6147" width="13" style="2" customWidth="1"/>
    <col min="6148" max="6165" width="11.28515625" style="2" bestFit="1" customWidth="1"/>
    <col min="6166" max="6400" width="9.140625" style="2"/>
    <col min="6401" max="6401" width="14.85546875" style="2" customWidth="1"/>
    <col min="6402" max="6402" width="13.28515625" style="2" customWidth="1"/>
    <col min="6403" max="6403" width="13" style="2" customWidth="1"/>
    <col min="6404" max="6421" width="11.28515625" style="2" bestFit="1" customWidth="1"/>
    <col min="6422" max="6656" width="9.140625" style="2"/>
    <col min="6657" max="6657" width="14.85546875" style="2" customWidth="1"/>
    <col min="6658" max="6658" width="13.28515625" style="2" customWidth="1"/>
    <col min="6659" max="6659" width="13" style="2" customWidth="1"/>
    <col min="6660" max="6677" width="11.28515625" style="2" bestFit="1" customWidth="1"/>
    <col min="6678" max="6912" width="9.140625" style="2"/>
    <col min="6913" max="6913" width="14.85546875" style="2" customWidth="1"/>
    <col min="6914" max="6914" width="13.28515625" style="2" customWidth="1"/>
    <col min="6915" max="6915" width="13" style="2" customWidth="1"/>
    <col min="6916" max="6933" width="11.28515625" style="2" bestFit="1" customWidth="1"/>
    <col min="6934" max="7168" width="9.140625" style="2"/>
    <col min="7169" max="7169" width="14.85546875" style="2" customWidth="1"/>
    <col min="7170" max="7170" width="13.28515625" style="2" customWidth="1"/>
    <col min="7171" max="7171" width="13" style="2" customWidth="1"/>
    <col min="7172" max="7189" width="11.28515625" style="2" bestFit="1" customWidth="1"/>
    <col min="7190" max="7424" width="9.140625" style="2"/>
    <col min="7425" max="7425" width="14.85546875" style="2" customWidth="1"/>
    <col min="7426" max="7426" width="13.28515625" style="2" customWidth="1"/>
    <col min="7427" max="7427" width="13" style="2" customWidth="1"/>
    <col min="7428" max="7445" width="11.28515625" style="2" bestFit="1" customWidth="1"/>
    <col min="7446" max="7680" width="9.140625" style="2"/>
    <col min="7681" max="7681" width="14.85546875" style="2" customWidth="1"/>
    <col min="7682" max="7682" width="13.28515625" style="2" customWidth="1"/>
    <col min="7683" max="7683" width="13" style="2" customWidth="1"/>
    <col min="7684" max="7701" width="11.28515625" style="2" bestFit="1" customWidth="1"/>
    <col min="7702" max="7936" width="9.140625" style="2"/>
    <col min="7937" max="7937" width="14.85546875" style="2" customWidth="1"/>
    <col min="7938" max="7938" width="13.28515625" style="2" customWidth="1"/>
    <col min="7939" max="7939" width="13" style="2" customWidth="1"/>
    <col min="7940" max="7957" width="11.28515625" style="2" bestFit="1" customWidth="1"/>
    <col min="7958" max="8192" width="9.140625" style="2"/>
    <col min="8193" max="8193" width="14.85546875" style="2" customWidth="1"/>
    <col min="8194" max="8194" width="13.28515625" style="2" customWidth="1"/>
    <col min="8195" max="8195" width="13" style="2" customWidth="1"/>
    <col min="8196" max="8213" width="11.28515625" style="2" bestFit="1" customWidth="1"/>
    <col min="8214" max="8448" width="9.140625" style="2"/>
    <col min="8449" max="8449" width="14.85546875" style="2" customWidth="1"/>
    <col min="8450" max="8450" width="13.28515625" style="2" customWidth="1"/>
    <col min="8451" max="8451" width="13" style="2" customWidth="1"/>
    <col min="8452" max="8469" width="11.28515625" style="2" bestFit="1" customWidth="1"/>
    <col min="8470" max="8704" width="9.140625" style="2"/>
    <col min="8705" max="8705" width="14.85546875" style="2" customWidth="1"/>
    <col min="8706" max="8706" width="13.28515625" style="2" customWidth="1"/>
    <col min="8707" max="8707" width="13" style="2" customWidth="1"/>
    <col min="8708" max="8725" width="11.28515625" style="2" bestFit="1" customWidth="1"/>
    <col min="8726" max="8960" width="9.140625" style="2"/>
    <col min="8961" max="8961" width="14.85546875" style="2" customWidth="1"/>
    <col min="8962" max="8962" width="13.28515625" style="2" customWidth="1"/>
    <col min="8963" max="8963" width="13" style="2" customWidth="1"/>
    <col min="8964" max="8981" width="11.28515625" style="2" bestFit="1" customWidth="1"/>
    <col min="8982" max="9216" width="9.140625" style="2"/>
    <col min="9217" max="9217" width="14.85546875" style="2" customWidth="1"/>
    <col min="9218" max="9218" width="13.28515625" style="2" customWidth="1"/>
    <col min="9219" max="9219" width="13" style="2" customWidth="1"/>
    <col min="9220" max="9237" width="11.28515625" style="2" bestFit="1" customWidth="1"/>
    <col min="9238" max="9472" width="9.140625" style="2"/>
    <col min="9473" max="9473" width="14.85546875" style="2" customWidth="1"/>
    <col min="9474" max="9474" width="13.28515625" style="2" customWidth="1"/>
    <col min="9475" max="9475" width="13" style="2" customWidth="1"/>
    <col min="9476" max="9493" width="11.28515625" style="2" bestFit="1" customWidth="1"/>
    <col min="9494" max="9728" width="9.140625" style="2"/>
    <col min="9729" max="9729" width="14.85546875" style="2" customWidth="1"/>
    <col min="9730" max="9730" width="13.28515625" style="2" customWidth="1"/>
    <col min="9731" max="9731" width="13" style="2" customWidth="1"/>
    <col min="9732" max="9749" width="11.28515625" style="2" bestFit="1" customWidth="1"/>
    <col min="9750" max="9984" width="9.140625" style="2"/>
    <col min="9985" max="9985" width="14.85546875" style="2" customWidth="1"/>
    <col min="9986" max="9986" width="13.28515625" style="2" customWidth="1"/>
    <col min="9987" max="9987" width="13" style="2" customWidth="1"/>
    <col min="9988" max="10005" width="11.28515625" style="2" bestFit="1" customWidth="1"/>
    <col min="10006" max="10240" width="9.140625" style="2"/>
    <col min="10241" max="10241" width="14.85546875" style="2" customWidth="1"/>
    <col min="10242" max="10242" width="13.28515625" style="2" customWidth="1"/>
    <col min="10243" max="10243" width="13" style="2" customWidth="1"/>
    <col min="10244" max="10261" width="11.28515625" style="2" bestFit="1" customWidth="1"/>
    <col min="10262" max="10496" width="9.140625" style="2"/>
    <col min="10497" max="10497" width="14.85546875" style="2" customWidth="1"/>
    <col min="10498" max="10498" width="13.28515625" style="2" customWidth="1"/>
    <col min="10499" max="10499" width="13" style="2" customWidth="1"/>
    <col min="10500" max="10517" width="11.28515625" style="2" bestFit="1" customWidth="1"/>
    <col min="10518" max="10752" width="9.140625" style="2"/>
    <col min="10753" max="10753" width="14.85546875" style="2" customWidth="1"/>
    <col min="10754" max="10754" width="13.28515625" style="2" customWidth="1"/>
    <col min="10755" max="10755" width="13" style="2" customWidth="1"/>
    <col min="10756" max="10773" width="11.28515625" style="2" bestFit="1" customWidth="1"/>
    <col min="10774" max="11008" width="9.140625" style="2"/>
    <col min="11009" max="11009" width="14.85546875" style="2" customWidth="1"/>
    <col min="11010" max="11010" width="13.28515625" style="2" customWidth="1"/>
    <col min="11011" max="11011" width="13" style="2" customWidth="1"/>
    <col min="11012" max="11029" width="11.28515625" style="2" bestFit="1" customWidth="1"/>
    <col min="11030" max="11264" width="9.140625" style="2"/>
    <col min="11265" max="11265" width="14.85546875" style="2" customWidth="1"/>
    <col min="11266" max="11266" width="13.28515625" style="2" customWidth="1"/>
    <col min="11267" max="11267" width="13" style="2" customWidth="1"/>
    <col min="11268" max="11285" width="11.28515625" style="2" bestFit="1" customWidth="1"/>
    <col min="11286" max="11520" width="9.140625" style="2"/>
    <col min="11521" max="11521" width="14.85546875" style="2" customWidth="1"/>
    <col min="11522" max="11522" width="13.28515625" style="2" customWidth="1"/>
    <col min="11523" max="11523" width="13" style="2" customWidth="1"/>
    <col min="11524" max="11541" width="11.28515625" style="2" bestFit="1" customWidth="1"/>
    <col min="11542" max="11776" width="9.140625" style="2"/>
    <col min="11777" max="11777" width="14.85546875" style="2" customWidth="1"/>
    <col min="11778" max="11778" width="13.28515625" style="2" customWidth="1"/>
    <col min="11779" max="11779" width="13" style="2" customWidth="1"/>
    <col min="11780" max="11797" width="11.28515625" style="2" bestFit="1" customWidth="1"/>
    <col min="11798" max="12032" width="9.140625" style="2"/>
    <col min="12033" max="12033" width="14.85546875" style="2" customWidth="1"/>
    <col min="12034" max="12034" width="13.28515625" style="2" customWidth="1"/>
    <col min="12035" max="12035" width="13" style="2" customWidth="1"/>
    <col min="12036" max="12053" width="11.28515625" style="2" bestFit="1" customWidth="1"/>
    <col min="12054" max="12288" width="9.140625" style="2"/>
    <col min="12289" max="12289" width="14.85546875" style="2" customWidth="1"/>
    <col min="12290" max="12290" width="13.28515625" style="2" customWidth="1"/>
    <col min="12291" max="12291" width="13" style="2" customWidth="1"/>
    <col min="12292" max="12309" width="11.28515625" style="2" bestFit="1" customWidth="1"/>
    <col min="12310" max="12544" width="9.140625" style="2"/>
    <col min="12545" max="12545" width="14.85546875" style="2" customWidth="1"/>
    <col min="12546" max="12546" width="13.28515625" style="2" customWidth="1"/>
    <col min="12547" max="12547" width="13" style="2" customWidth="1"/>
    <col min="12548" max="12565" width="11.28515625" style="2" bestFit="1" customWidth="1"/>
    <col min="12566" max="12800" width="9.140625" style="2"/>
    <col min="12801" max="12801" width="14.85546875" style="2" customWidth="1"/>
    <col min="12802" max="12802" width="13.28515625" style="2" customWidth="1"/>
    <col min="12803" max="12803" width="13" style="2" customWidth="1"/>
    <col min="12804" max="12821" width="11.28515625" style="2" bestFit="1" customWidth="1"/>
    <col min="12822" max="13056" width="9.140625" style="2"/>
    <col min="13057" max="13057" width="14.85546875" style="2" customWidth="1"/>
    <col min="13058" max="13058" width="13.28515625" style="2" customWidth="1"/>
    <col min="13059" max="13059" width="13" style="2" customWidth="1"/>
    <col min="13060" max="13077" width="11.28515625" style="2" bestFit="1" customWidth="1"/>
    <col min="13078" max="13312" width="9.140625" style="2"/>
    <col min="13313" max="13313" width="14.85546875" style="2" customWidth="1"/>
    <col min="13314" max="13314" width="13.28515625" style="2" customWidth="1"/>
    <col min="13315" max="13315" width="13" style="2" customWidth="1"/>
    <col min="13316" max="13333" width="11.28515625" style="2" bestFit="1" customWidth="1"/>
    <col min="13334" max="13568" width="9.140625" style="2"/>
    <col min="13569" max="13569" width="14.85546875" style="2" customWidth="1"/>
    <col min="13570" max="13570" width="13.28515625" style="2" customWidth="1"/>
    <col min="13571" max="13571" width="13" style="2" customWidth="1"/>
    <col min="13572" max="13589" width="11.28515625" style="2" bestFit="1" customWidth="1"/>
    <col min="13590" max="13824" width="9.140625" style="2"/>
    <col min="13825" max="13825" width="14.85546875" style="2" customWidth="1"/>
    <col min="13826" max="13826" width="13.28515625" style="2" customWidth="1"/>
    <col min="13827" max="13827" width="13" style="2" customWidth="1"/>
    <col min="13828" max="13845" width="11.28515625" style="2" bestFit="1" customWidth="1"/>
    <col min="13846" max="14080" width="9.140625" style="2"/>
    <col min="14081" max="14081" width="14.85546875" style="2" customWidth="1"/>
    <col min="14082" max="14082" width="13.28515625" style="2" customWidth="1"/>
    <col min="14083" max="14083" width="13" style="2" customWidth="1"/>
    <col min="14084" max="14101" width="11.28515625" style="2" bestFit="1" customWidth="1"/>
    <col min="14102" max="14336" width="9.140625" style="2"/>
    <col min="14337" max="14337" width="14.85546875" style="2" customWidth="1"/>
    <col min="14338" max="14338" width="13.28515625" style="2" customWidth="1"/>
    <col min="14339" max="14339" width="13" style="2" customWidth="1"/>
    <col min="14340" max="14357" width="11.28515625" style="2" bestFit="1" customWidth="1"/>
    <col min="14358" max="14592" width="9.140625" style="2"/>
    <col min="14593" max="14593" width="14.85546875" style="2" customWidth="1"/>
    <col min="14594" max="14594" width="13.28515625" style="2" customWidth="1"/>
    <col min="14595" max="14595" width="13" style="2" customWidth="1"/>
    <col min="14596" max="14613" width="11.28515625" style="2" bestFit="1" customWidth="1"/>
    <col min="14614" max="14848" width="9.140625" style="2"/>
    <col min="14849" max="14849" width="14.85546875" style="2" customWidth="1"/>
    <col min="14850" max="14850" width="13.28515625" style="2" customWidth="1"/>
    <col min="14851" max="14851" width="13" style="2" customWidth="1"/>
    <col min="14852" max="14869" width="11.28515625" style="2" bestFit="1" customWidth="1"/>
    <col min="14870" max="15104" width="9.140625" style="2"/>
    <col min="15105" max="15105" width="14.85546875" style="2" customWidth="1"/>
    <col min="15106" max="15106" width="13.28515625" style="2" customWidth="1"/>
    <col min="15107" max="15107" width="13" style="2" customWidth="1"/>
    <col min="15108" max="15125" width="11.28515625" style="2" bestFit="1" customWidth="1"/>
    <col min="15126" max="15360" width="9.140625" style="2"/>
    <col min="15361" max="15361" width="14.85546875" style="2" customWidth="1"/>
    <col min="15362" max="15362" width="13.28515625" style="2" customWidth="1"/>
    <col min="15363" max="15363" width="13" style="2" customWidth="1"/>
    <col min="15364" max="15381" width="11.28515625" style="2" bestFit="1" customWidth="1"/>
    <col min="15382" max="15616" width="9.140625" style="2"/>
    <col min="15617" max="15617" width="14.85546875" style="2" customWidth="1"/>
    <col min="15618" max="15618" width="13.28515625" style="2" customWidth="1"/>
    <col min="15619" max="15619" width="13" style="2" customWidth="1"/>
    <col min="15620" max="15637" width="11.28515625" style="2" bestFit="1" customWidth="1"/>
    <col min="15638" max="15872" width="9.140625" style="2"/>
    <col min="15873" max="15873" width="14.85546875" style="2" customWidth="1"/>
    <col min="15874" max="15874" width="13.28515625" style="2" customWidth="1"/>
    <col min="15875" max="15875" width="13" style="2" customWidth="1"/>
    <col min="15876" max="15893" width="11.28515625" style="2" bestFit="1" customWidth="1"/>
    <col min="15894" max="16128" width="9.140625" style="2"/>
    <col min="16129" max="16129" width="14.85546875" style="2" customWidth="1"/>
    <col min="16130" max="16130" width="13.28515625" style="2" customWidth="1"/>
    <col min="16131" max="16131" width="13" style="2" customWidth="1"/>
    <col min="16132" max="16149" width="11.28515625" style="2" bestFit="1" customWidth="1"/>
    <col min="16150" max="16384" width="9.140625" style="2"/>
  </cols>
  <sheetData>
    <row r="1" spans="1:32" s="1" customFormat="1" x14ac:dyDescent="0.25">
      <c r="A1" s="10" t="s">
        <v>245</v>
      </c>
      <c r="B1" s="11">
        <v>1984</v>
      </c>
      <c r="C1" s="11">
        <v>1985</v>
      </c>
      <c r="D1" s="11">
        <v>1986</v>
      </c>
      <c r="E1" s="11">
        <v>1987</v>
      </c>
      <c r="F1" s="11">
        <v>1988</v>
      </c>
      <c r="G1" s="11">
        <v>1989</v>
      </c>
      <c r="H1" s="11">
        <v>1990</v>
      </c>
      <c r="I1" s="11">
        <v>1991</v>
      </c>
      <c r="J1" s="11">
        <v>1992</v>
      </c>
      <c r="K1" s="11">
        <v>1993</v>
      </c>
      <c r="L1" s="11">
        <v>1994</v>
      </c>
      <c r="M1" s="11">
        <v>1995</v>
      </c>
      <c r="N1" s="11">
        <v>1996</v>
      </c>
      <c r="O1" s="11">
        <v>1997</v>
      </c>
      <c r="P1" s="11">
        <v>1998</v>
      </c>
      <c r="Q1" s="11">
        <v>1999</v>
      </c>
      <c r="R1" s="11">
        <v>2000</v>
      </c>
      <c r="S1" s="11">
        <v>2001</v>
      </c>
      <c r="T1" s="11">
        <v>2002</v>
      </c>
      <c r="U1" s="11">
        <v>2003</v>
      </c>
      <c r="V1" s="11">
        <v>2004</v>
      </c>
      <c r="W1" s="11">
        <v>2005</v>
      </c>
      <c r="X1" s="11">
        <v>2006</v>
      </c>
      <c r="Y1" s="11">
        <v>2007</v>
      </c>
      <c r="Z1" s="11">
        <v>2008</v>
      </c>
      <c r="AA1" s="11">
        <v>2009</v>
      </c>
      <c r="AB1" s="11">
        <v>2010</v>
      </c>
      <c r="AC1" s="11">
        <v>2011</v>
      </c>
      <c r="AD1" s="11">
        <v>2012</v>
      </c>
      <c r="AE1" s="11">
        <v>2013</v>
      </c>
      <c r="AF1" s="11">
        <v>2014</v>
      </c>
    </row>
    <row r="2" spans="1:32" x14ac:dyDescent="0.25">
      <c r="A2" s="5" t="s">
        <v>1</v>
      </c>
      <c r="B2" s="4">
        <v>73.7</v>
      </c>
      <c r="C2" s="4">
        <v>70.400000000000006</v>
      </c>
      <c r="D2" s="4">
        <v>70.3</v>
      </c>
      <c r="E2" s="4">
        <v>67.900000000000006</v>
      </c>
      <c r="F2" s="4">
        <v>66.5</v>
      </c>
      <c r="G2" s="4">
        <v>67.599999999999994</v>
      </c>
      <c r="H2" s="6">
        <v>68.400000000000006</v>
      </c>
      <c r="I2" s="4">
        <v>69.900000000000006</v>
      </c>
      <c r="J2" s="4">
        <v>70.3</v>
      </c>
      <c r="K2" s="4">
        <v>70.2</v>
      </c>
      <c r="L2" s="4">
        <v>68.5</v>
      </c>
      <c r="M2" s="4">
        <v>70.099999999999994</v>
      </c>
      <c r="N2" s="6">
        <v>71</v>
      </c>
      <c r="O2" s="3">
        <v>71.3</v>
      </c>
      <c r="P2" s="3">
        <v>72.900000000000006</v>
      </c>
      <c r="Q2" s="3">
        <v>74.8</v>
      </c>
      <c r="R2" s="3">
        <v>73.2</v>
      </c>
      <c r="S2" s="4">
        <v>73.2</v>
      </c>
      <c r="T2" s="4">
        <v>73.7</v>
      </c>
      <c r="U2" s="4">
        <v>76.2</v>
      </c>
      <c r="V2" s="8">
        <v>78</v>
      </c>
      <c r="W2" s="9">
        <v>76.599999999999994</v>
      </c>
      <c r="X2" s="7">
        <v>74.2</v>
      </c>
      <c r="Y2" s="7">
        <v>73.3</v>
      </c>
      <c r="Z2" s="7">
        <v>73</v>
      </c>
      <c r="AA2" s="4">
        <v>74.075000000000003</v>
      </c>
      <c r="AB2" s="4">
        <v>73.225000000000009</v>
      </c>
      <c r="AC2" s="4">
        <v>72.95</v>
      </c>
      <c r="AD2" s="4">
        <v>71.949999999999989</v>
      </c>
      <c r="AE2" s="4">
        <v>72.724999999999994</v>
      </c>
      <c r="AF2" s="4">
        <v>72.125</v>
      </c>
    </row>
    <row r="3" spans="1:32" x14ac:dyDescent="0.25">
      <c r="A3" s="5" t="s">
        <v>2</v>
      </c>
      <c r="B3" s="4">
        <v>57.6</v>
      </c>
      <c r="C3" s="4">
        <v>61.2</v>
      </c>
      <c r="D3" s="4">
        <v>61.5</v>
      </c>
      <c r="E3" s="4">
        <v>59.7</v>
      </c>
      <c r="F3" s="4">
        <v>57</v>
      </c>
      <c r="G3" s="6">
        <v>58.7</v>
      </c>
      <c r="H3" s="4">
        <v>58.4</v>
      </c>
      <c r="I3" s="4">
        <v>57.1</v>
      </c>
      <c r="J3" s="4">
        <v>55.5</v>
      </c>
      <c r="K3" s="4">
        <v>55.4</v>
      </c>
      <c r="L3" s="4">
        <v>58.8</v>
      </c>
      <c r="M3" s="4">
        <v>60.9</v>
      </c>
      <c r="N3" s="6">
        <v>62.9</v>
      </c>
      <c r="O3" s="3">
        <v>67.2</v>
      </c>
      <c r="P3" s="3">
        <v>66.3</v>
      </c>
      <c r="Q3" s="3">
        <v>66.400000000000006</v>
      </c>
      <c r="R3" s="3">
        <v>66.400000000000006</v>
      </c>
      <c r="S3" s="4">
        <v>65.3</v>
      </c>
      <c r="T3" s="4">
        <v>67.099999999999994</v>
      </c>
      <c r="U3" s="4">
        <v>70</v>
      </c>
      <c r="V3" s="8">
        <v>67.2</v>
      </c>
      <c r="W3" s="9">
        <v>66</v>
      </c>
      <c r="X3" s="7">
        <v>67.2</v>
      </c>
      <c r="Y3" s="7">
        <v>66.599999999999994</v>
      </c>
      <c r="Z3" s="7">
        <v>66.400000000000006</v>
      </c>
      <c r="AA3" s="4">
        <v>66.8</v>
      </c>
      <c r="AB3" s="4">
        <v>65.674999999999997</v>
      </c>
      <c r="AC3" s="4">
        <v>64.349999999999994</v>
      </c>
      <c r="AD3" s="4">
        <v>63.724999999999994</v>
      </c>
      <c r="AE3" s="4">
        <v>64.575000000000003</v>
      </c>
      <c r="AF3" s="4">
        <v>64.925000000000011</v>
      </c>
    </row>
    <row r="4" spans="1:32" x14ac:dyDescent="0.25">
      <c r="A4" s="5" t="s">
        <v>3</v>
      </c>
      <c r="B4" s="4">
        <v>65.2</v>
      </c>
      <c r="C4" s="4">
        <v>64.7</v>
      </c>
      <c r="D4" s="4">
        <v>62.5</v>
      </c>
      <c r="E4" s="4">
        <v>63.3</v>
      </c>
      <c r="F4" s="4">
        <v>66.099999999999994</v>
      </c>
      <c r="G4" s="6">
        <v>63.9</v>
      </c>
      <c r="H4" s="4">
        <v>64.5</v>
      </c>
      <c r="I4" s="4">
        <v>66.3</v>
      </c>
      <c r="J4" s="4">
        <v>69.3</v>
      </c>
      <c r="K4" s="4">
        <v>69.099999999999994</v>
      </c>
      <c r="L4" s="4">
        <v>67.7</v>
      </c>
      <c r="M4" s="4">
        <v>62.9</v>
      </c>
      <c r="N4" s="6">
        <v>62</v>
      </c>
      <c r="O4" s="3">
        <v>63</v>
      </c>
      <c r="P4" s="3">
        <v>64.3</v>
      </c>
      <c r="Q4" s="3">
        <v>66.3</v>
      </c>
      <c r="R4" s="3">
        <v>68</v>
      </c>
      <c r="S4" s="4">
        <v>68.099999999999994</v>
      </c>
      <c r="T4" s="4">
        <v>65.599999999999994</v>
      </c>
      <c r="U4" s="4">
        <v>67</v>
      </c>
      <c r="V4" s="8">
        <v>68.7</v>
      </c>
      <c r="W4" s="9">
        <v>71.099999999999994</v>
      </c>
      <c r="X4" s="7">
        <v>71.599999999999994</v>
      </c>
      <c r="Y4" s="7">
        <v>70.400000000000006</v>
      </c>
      <c r="Z4" s="7">
        <v>69.099999999999994</v>
      </c>
      <c r="AA4" s="4">
        <v>68.95</v>
      </c>
      <c r="AB4" s="4">
        <v>66.625</v>
      </c>
      <c r="AC4" s="4">
        <v>66</v>
      </c>
      <c r="AD4" s="4">
        <v>65.275000000000006</v>
      </c>
      <c r="AE4" s="4">
        <v>65.150000000000006</v>
      </c>
      <c r="AF4" s="4">
        <v>63.5</v>
      </c>
    </row>
    <row r="5" spans="1:32" x14ac:dyDescent="0.25">
      <c r="A5" s="5" t="s">
        <v>4</v>
      </c>
      <c r="B5" s="4">
        <v>65.900000000000006</v>
      </c>
      <c r="C5" s="4">
        <v>66.599999999999994</v>
      </c>
      <c r="D5" s="4">
        <v>67.5</v>
      </c>
      <c r="E5" s="4">
        <v>68.099999999999994</v>
      </c>
      <c r="F5" s="4">
        <v>67</v>
      </c>
      <c r="G5" s="6">
        <v>66.3</v>
      </c>
      <c r="H5" s="4">
        <v>67.8</v>
      </c>
      <c r="I5" s="4">
        <v>68.599999999999994</v>
      </c>
      <c r="J5" s="4">
        <v>70.3</v>
      </c>
      <c r="K5" s="4">
        <v>70.5</v>
      </c>
      <c r="L5" s="4">
        <v>68.099999999999994</v>
      </c>
      <c r="M5" s="4">
        <v>67.2</v>
      </c>
      <c r="N5" s="6">
        <v>66.599999999999994</v>
      </c>
      <c r="O5" s="3">
        <v>66.7</v>
      </c>
      <c r="P5" s="3">
        <v>66.7</v>
      </c>
      <c r="Q5" s="3">
        <v>65.599999999999994</v>
      </c>
      <c r="R5" s="3">
        <v>68.900000000000006</v>
      </c>
      <c r="S5" s="4">
        <v>71.2</v>
      </c>
      <c r="T5" s="4">
        <v>70.3</v>
      </c>
      <c r="U5" s="4">
        <v>69.599999999999994</v>
      </c>
      <c r="V5" s="8">
        <v>69.099999999999994</v>
      </c>
      <c r="W5" s="9">
        <v>69.2</v>
      </c>
      <c r="X5" s="7">
        <v>70.8</v>
      </c>
      <c r="Y5" s="7">
        <v>69.5</v>
      </c>
      <c r="Z5" s="7">
        <v>68.900000000000006</v>
      </c>
      <c r="AA5" s="4">
        <v>68.525000000000006</v>
      </c>
      <c r="AB5" s="4">
        <v>67.849999999999994</v>
      </c>
      <c r="AC5" s="4">
        <v>67.525000000000006</v>
      </c>
      <c r="AD5" s="4">
        <v>66</v>
      </c>
      <c r="AE5" s="4">
        <v>65.375</v>
      </c>
      <c r="AF5" s="4">
        <v>65.449999999999989</v>
      </c>
    </row>
    <row r="6" spans="1:32" x14ac:dyDescent="0.25">
      <c r="A6" s="5" t="s">
        <v>5</v>
      </c>
      <c r="B6" s="4">
        <v>53.7</v>
      </c>
      <c r="C6" s="4">
        <v>54.2</v>
      </c>
      <c r="D6" s="4">
        <v>53.8</v>
      </c>
      <c r="E6" s="4">
        <v>54.3</v>
      </c>
      <c r="F6" s="4">
        <v>54.4</v>
      </c>
      <c r="G6" s="6">
        <v>53.6</v>
      </c>
      <c r="H6" s="4">
        <v>53.8</v>
      </c>
      <c r="I6" s="4">
        <v>54.5</v>
      </c>
      <c r="J6" s="4">
        <v>55.3</v>
      </c>
      <c r="K6" s="4">
        <v>56</v>
      </c>
      <c r="L6" s="4">
        <v>55.5</v>
      </c>
      <c r="M6" s="4">
        <v>55.4</v>
      </c>
      <c r="N6" s="6">
        <v>55</v>
      </c>
      <c r="O6" s="3">
        <v>55.7</v>
      </c>
      <c r="P6" s="3">
        <v>56</v>
      </c>
      <c r="Q6" s="3">
        <v>55.7</v>
      </c>
      <c r="R6" s="3">
        <v>57.1</v>
      </c>
      <c r="S6" s="4">
        <v>58.2</v>
      </c>
      <c r="T6" s="4">
        <v>57.7</v>
      </c>
      <c r="U6" s="4">
        <v>58.9</v>
      </c>
      <c r="V6" s="8">
        <v>59.7</v>
      </c>
      <c r="W6" s="9">
        <v>59.7</v>
      </c>
      <c r="X6" s="7">
        <v>60.2</v>
      </c>
      <c r="Y6" s="7">
        <v>58.3</v>
      </c>
      <c r="Z6" s="7">
        <v>57.5</v>
      </c>
      <c r="AA6" s="4">
        <v>56.95</v>
      </c>
      <c r="AB6" s="4">
        <v>56.1</v>
      </c>
      <c r="AC6" s="4">
        <v>55.3</v>
      </c>
      <c r="AD6" s="4">
        <v>54.524999999999999</v>
      </c>
      <c r="AE6" s="4">
        <v>54.3</v>
      </c>
      <c r="AF6" s="4">
        <v>54.224999999999994</v>
      </c>
    </row>
    <row r="7" spans="1:32" x14ac:dyDescent="0.25">
      <c r="A7" s="5" t="s">
        <v>6</v>
      </c>
      <c r="B7" s="4">
        <v>64.7</v>
      </c>
      <c r="C7" s="4">
        <v>63.6</v>
      </c>
      <c r="D7" s="4">
        <v>63.7</v>
      </c>
      <c r="E7" s="4">
        <v>61.8</v>
      </c>
      <c r="F7" s="4">
        <v>60.1</v>
      </c>
      <c r="G7" s="6">
        <v>58.6</v>
      </c>
      <c r="H7" s="4">
        <v>59</v>
      </c>
      <c r="I7" s="4">
        <v>59.8</v>
      </c>
      <c r="J7" s="4">
        <v>60.9</v>
      </c>
      <c r="K7" s="4">
        <v>61.8</v>
      </c>
      <c r="L7" s="4">
        <v>62.9</v>
      </c>
      <c r="M7" s="4">
        <v>64.599999999999994</v>
      </c>
      <c r="N7" s="6">
        <v>64.5</v>
      </c>
      <c r="O7" s="3">
        <v>64.099999999999994</v>
      </c>
      <c r="P7" s="3">
        <v>65.2</v>
      </c>
      <c r="Q7" s="3">
        <v>68.099999999999994</v>
      </c>
      <c r="R7" s="3">
        <v>68.3</v>
      </c>
      <c r="S7" s="4">
        <v>68.5</v>
      </c>
      <c r="T7" s="4">
        <v>68.900000000000006</v>
      </c>
      <c r="U7" s="4">
        <v>71.3</v>
      </c>
      <c r="V7" s="8">
        <v>71.099999999999994</v>
      </c>
      <c r="W7" s="9">
        <v>71</v>
      </c>
      <c r="X7" s="7">
        <v>70.099999999999994</v>
      </c>
      <c r="Y7" s="7">
        <v>70.2</v>
      </c>
      <c r="Z7" s="7">
        <v>69</v>
      </c>
      <c r="AA7" s="4">
        <v>68.474999999999994</v>
      </c>
      <c r="AB7" s="4">
        <v>68.525000000000006</v>
      </c>
      <c r="AC7" s="4">
        <v>65.875</v>
      </c>
      <c r="AD7" s="4">
        <v>65.3</v>
      </c>
      <c r="AE7" s="4">
        <v>64.45</v>
      </c>
      <c r="AF7" s="4">
        <v>65</v>
      </c>
    </row>
    <row r="8" spans="1:32" x14ac:dyDescent="0.25">
      <c r="A8" s="5" t="s">
        <v>7</v>
      </c>
      <c r="B8" s="4">
        <v>67.8</v>
      </c>
      <c r="C8" s="4">
        <v>69</v>
      </c>
      <c r="D8" s="4">
        <v>68.099999999999994</v>
      </c>
      <c r="E8" s="4">
        <v>67</v>
      </c>
      <c r="F8" s="4">
        <v>66.5</v>
      </c>
      <c r="G8" s="6">
        <v>66.400000000000006</v>
      </c>
      <c r="H8" s="4">
        <v>67.900000000000006</v>
      </c>
      <c r="I8" s="4">
        <v>65.5</v>
      </c>
      <c r="J8" s="4">
        <v>66.099999999999994</v>
      </c>
      <c r="K8" s="4">
        <v>64.5</v>
      </c>
      <c r="L8" s="4">
        <v>63.8</v>
      </c>
      <c r="M8" s="4">
        <v>68.2</v>
      </c>
      <c r="N8" s="6">
        <v>69</v>
      </c>
      <c r="O8" s="3">
        <v>68.099999999999994</v>
      </c>
      <c r="P8" s="3">
        <v>69.3</v>
      </c>
      <c r="Q8" s="3">
        <v>69.099999999999994</v>
      </c>
      <c r="R8" s="3">
        <v>70</v>
      </c>
      <c r="S8" s="4">
        <v>71.8</v>
      </c>
      <c r="T8" s="4">
        <v>71.5</v>
      </c>
      <c r="U8" s="4">
        <v>73</v>
      </c>
      <c r="V8" s="8">
        <v>71.7</v>
      </c>
      <c r="W8" s="9">
        <v>70.5</v>
      </c>
      <c r="X8" s="7">
        <v>71.099999999999994</v>
      </c>
      <c r="Y8" s="7">
        <v>70.3</v>
      </c>
      <c r="Z8" s="7">
        <v>70.7</v>
      </c>
      <c r="AA8" s="4">
        <v>70.525000000000006</v>
      </c>
      <c r="AB8" s="4">
        <v>70.800000000000011</v>
      </c>
      <c r="AC8" s="4">
        <v>70.625</v>
      </c>
      <c r="AD8" s="4">
        <v>68.825000000000003</v>
      </c>
      <c r="AE8" s="4">
        <v>68.449999999999989</v>
      </c>
      <c r="AF8" s="4">
        <v>67.375</v>
      </c>
    </row>
    <row r="9" spans="1:32" x14ac:dyDescent="0.25">
      <c r="A9" s="5" t="s">
        <v>8</v>
      </c>
      <c r="B9" s="4">
        <v>70.400000000000006</v>
      </c>
      <c r="C9" s="4">
        <v>70.3</v>
      </c>
      <c r="D9" s="4">
        <v>71</v>
      </c>
      <c r="E9" s="4">
        <v>71.099999999999994</v>
      </c>
      <c r="F9" s="4">
        <v>70.099999999999994</v>
      </c>
      <c r="G9" s="6">
        <v>68.7</v>
      </c>
      <c r="H9" s="4">
        <v>67.7</v>
      </c>
      <c r="I9" s="4">
        <v>70.2</v>
      </c>
      <c r="J9" s="4">
        <v>73.8</v>
      </c>
      <c r="K9" s="4">
        <v>74.099999999999994</v>
      </c>
      <c r="L9" s="4">
        <v>70.5</v>
      </c>
      <c r="M9" s="4">
        <v>71.7</v>
      </c>
      <c r="N9" s="6">
        <v>71.5</v>
      </c>
      <c r="O9" s="3">
        <v>69.2</v>
      </c>
      <c r="P9" s="3">
        <v>71</v>
      </c>
      <c r="Q9" s="3">
        <v>71.599999999999994</v>
      </c>
      <c r="R9" s="3">
        <v>72</v>
      </c>
      <c r="S9" s="4">
        <v>75.400000000000006</v>
      </c>
      <c r="T9" s="4">
        <v>75.599999999999994</v>
      </c>
      <c r="U9" s="4">
        <v>77.2</v>
      </c>
      <c r="V9" s="8">
        <v>77.3</v>
      </c>
      <c r="W9" s="9">
        <v>75.8</v>
      </c>
      <c r="X9" s="7">
        <v>76.8</v>
      </c>
      <c r="Y9" s="7">
        <v>76.8</v>
      </c>
      <c r="Z9" s="7">
        <v>76.2</v>
      </c>
      <c r="AA9" s="4">
        <v>76.474999999999994</v>
      </c>
      <c r="AB9" s="4">
        <v>74.7</v>
      </c>
      <c r="AC9" s="4">
        <v>74.150000000000006</v>
      </c>
      <c r="AD9" s="4">
        <v>73.45</v>
      </c>
      <c r="AE9" s="4">
        <v>74.149999999999991</v>
      </c>
      <c r="AF9" s="4">
        <v>74.3</v>
      </c>
    </row>
    <row r="10" spans="1:32" x14ac:dyDescent="0.25">
      <c r="A10" s="5" t="s">
        <v>9</v>
      </c>
      <c r="B10" s="4">
        <v>37.299999999999997</v>
      </c>
      <c r="C10" s="4">
        <v>37.4</v>
      </c>
      <c r="D10" s="4">
        <v>34.6</v>
      </c>
      <c r="E10" s="4">
        <v>35.799999999999997</v>
      </c>
      <c r="F10" s="4">
        <v>37.5</v>
      </c>
      <c r="G10" s="6">
        <v>38.700000000000003</v>
      </c>
      <c r="H10" s="4">
        <v>36.4</v>
      </c>
      <c r="I10" s="4">
        <v>35.1</v>
      </c>
      <c r="J10" s="4">
        <v>35</v>
      </c>
      <c r="K10" s="4">
        <v>35.700000000000003</v>
      </c>
      <c r="L10" s="4">
        <v>37.799999999999997</v>
      </c>
      <c r="M10" s="4">
        <v>39.200000000000003</v>
      </c>
      <c r="N10" s="6">
        <v>40.4</v>
      </c>
      <c r="O10" s="3">
        <v>42.5</v>
      </c>
      <c r="P10" s="3">
        <v>40.299999999999997</v>
      </c>
      <c r="Q10" s="3">
        <v>40</v>
      </c>
      <c r="R10" s="3">
        <v>41.9</v>
      </c>
      <c r="S10" s="4">
        <v>42.7</v>
      </c>
      <c r="T10" s="4">
        <v>44.1</v>
      </c>
      <c r="U10" s="4">
        <v>43</v>
      </c>
      <c r="V10" s="8">
        <v>45.6</v>
      </c>
      <c r="W10" s="9">
        <v>45.8</v>
      </c>
      <c r="X10" s="7">
        <v>45.9</v>
      </c>
      <c r="Y10" s="7">
        <v>47.2</v>
      </c>
      <c r="Z10" s="7">
        <v>44.1</v>
      </c>
      <c r="AA10" s="4">
        <v>44.9</v>
      </c>
      <c r="AB10" s="4">
        <v>45.625</v>
      </c>
      <c r="AC10" s="4">
        <v>44.825000000000003</v>
      </c>
      <c r="AD10" s="4">
        <v>44.974999999999994</v>
      </c>
      <c r="AE10" s="4">
        <v>44.575000000000003</v>
      </c>
      <c r="AF10" s="4">
        <v>41.525000000000006</v>
      </c>
    </row>
    <row r="11" spans="1:32" x14ac:dyDescent="0.25">
      <c r="A11" s="5" t="s">
        <v>10</v>
      </c>
      <c r="B11" s="4">
        <v>66.5</v>
      </c>
      <c r="C11" s="4">
        <v>67.2</v>
      </c>
      <c r="D11" s="4">
        <v>66.5</v>
      </c>
      <c r="E11" s="4">
        <v>66.3</v>
      </c>
      <c r="F11" s="4">
        <v>64.900000000000006</v>
      </c>
      <c r="G11" s="6">
        <v>64.400000000000006</v>
      </c>
      <c r="H11" s="4">
        <v>65.099999999999994</v>
      </c>
      <c r="I11" s="4">
        <v>66.099999999999994</v>
      </c>
      <c r="J11" s="4">
        <v>66</v>
      </c>
      <c r="K11" s="4">
        <v>65.5</v>
      </c>
      <c r="L11" s="4">
        <v>65.7</v>
      </c>
      <c r="M11" s="4">
        <v>66.599999999999994</v>
      </c>
      <c r="N11" s="6">
        <v>67.099999999999994</v>
      </c>
      <c r="O11" s="3">
        <v>66.900000000000006</v>
      </c>
      <c r="P11" s="3">
        <v>66.900000000000006</v>
      </c>
      <c r="Q11" s="3">
        <v>67.599999999999994</v>
      </c>
      <c r="R11" s="3">
        <v>68.400000000000006</v>
      </c>
      <c r="S11" s="4">
        <v>69.2</v>
      </c>
      <c r="T11" s="4">
        <v>68.7</v>
      </c>
      <c r="U11" s="4">
        <v>69.5</v>
      </c>
      <c r="V11" s="8">
        <v>72.2</v>
      </c>
      <c r="W11" s="9">
        <v>72.400000000000006</v>
      </c>
      <c r="X11" s="7">
        <v>72.400000000000006</v>
      </c>
      <c r="Y11" s="7">
        <v>71.8</v>
      </c>
      <c r="Z11" s="7">
        <v>71.099999999999994</v>
      </c>
      <c r="AA11" s="4">
        <v>70.900000000000006</v>
      </c>
      <c r="AB11" s="4">
        <v>69.224999999999994</v>
      </c>
      <c r="AC11" s="4">
        <v>68.975000000000009</v>
      </c>
      <c r="AD11" s="4">
        <v>67.024999999999991</v>
      </c>
      <c r="AE11" s="4">
        <v>66.150000000000006</v>
      </c>
      <c r="AF11" s="4">
        <v>64.849999999999994</v>
      </c>
    </row>
    <row r="12" spans="1:32" x14ac:dyDescent="0.25">
      <c r="A12" s="5" t="s">
        <v>11</v>
      </c>
      <c r="B12" s="4">
        <v>63.6</v>
      </c>
      <c r="C12" s="4">
        <v>62.7</v>
      </c>
      <c r="D12" s="4">
        <v>62.4</v>
      </c>
      <c r="E12" s="4">
        <v>63.9</v>
      </c>
      <c r="F12" s="4">
        <v>64.8</v>
      </c>
      <c r="G12" s="6">
        <v>64.7</v>
      </c>
      <c r="H12" s="4">
        <v>64.3</v>
      </c>
      <c r="I12" s="4">
        <v>65.7</v>
      </c>
      <c r="J12" s="4">
        <v>66.900000000000006</v>
      </c>
      <c r="K12" s="4">
        <v>66.5</v>
      </c>
      <c r="L12" s="4">
        <v>63.4</v>
      </c>
      <c r="M12" s="4">
        <v>66.599999999999994</v>
      </c>
      <c r="N12" s="6">
        <v>69.3</v>
      </c>
      <c r="O12" s="3">
        <v>70.900000000000006</v>
      </c>
      <c r="P12" s="3">
        <v>71.2</v>
      </c>
      <c r="Q12" s="3">
        <v>71.3</v>
      </c>
      <c r="R12" s="3">
        <v>69.8</v>
      </c>
      <c r="S12" s="4">
        <v>70.099999999999994</v>
      </c>
      <c r="T12" s="4">
        <v>71.8</v>
      </c>
      <c r="U12" s="4">
        <v>71.400000000000006</v>
      </c>
      <c r="V12" s="8">
        <v>70.900000000000006</v>
      </c>
      <c r="W12" s="9">
        <v>67.900000000000006</v>
      </c>
      <c r="X12" s="7">
        <v>68.5</v>
      </c>
      <c r="Y12" s="7">
        <v>67.599999999999994</v>
      </c>
      <c r="Z12" s="7">
        <v>68.2</v>
      </c>
      <c r="AA12" s="4">
        <v>67.375</v>
      </c>
      <c r="AB12" s="4">
        <v>67.099999999999994</v>
      </c>
      <c r="AC12" s="4">
        <v>66.225000000000009</v>
      </c>
      <c r="AD12" s="4">
        <v>64.325000000000003</v>
      </c>
      <c r="AE12" s="4">
        <v>64.224999999999994</v>
      </c>
      <c r="AF12" s="4">
        <v>62.949999999999996</v>
      </c>
    </row>
    <row r="13" spans="1:32" x14ac:dyDescent="0.25">
      <c r="A13" s="5" t="s">
        <v>12</v>
      </c>
      <c r="B13" s="4">
        <v>50.7</v>
      </c>
      <c r="C13" s="4">
        <v>51</v>
      </c>
      <c r="D13" s="4">
        <v>50.9</v>
      </c>
      <c r="E13" s="4">
        <v>50.7</v>
      </c>
      <c r="F13" s="4">
        <v>53.2</v>
      </c>
      <c r="G13" s="6">
        <v>54.7</v>
      </c>
      <c r="H13" s="4">
        <v>55.5</v>
      </c>
      <c r="I13" s="4">
        <v>55.2</v>
      </c>
      <c r="J13" s="4">
        <v>53.8</v>
      </c>
      <c r="K13" s="4">
        <v>52.8</v>
      </c>
      <c r="L13" s="4">
        <v>52.3</v>
      </c>
      <c r="M13" s="4">
        <v>50.2</v>
      </c>
      <c r="N13" s="6">
        <v>50.6</v>
      </c>
      <c r="O13" s="3">
        <v>50.2</v>
      </c>
      <c r="P13" s="3">
        <v>52.8</v>
      </c>
      <c r="Q13" s="3">
        <v>56.6</v>
      </c>
      <c r="R13" s="3">
        <v>55.2</v>
      </c>
      <c r="S13" s="4">
        <v>55.5</v>
      </c>
      <c r="T13" s="4">
        <v>57.9</v>
      </c>
      <c r="U13" s="4">
        <v>58.3</v>
      </c>
      <c r="V13" s="8">
        <v>60.6</v>
      </c>
      <c r="W13" s="9">
        <v>59.8</v>
      </c>
      <c r="X13" s="7">
        <v>59.9</v>
      </c>
      <c r="Y13" s="7">
        <v>60.1</v>
      </c>
      <c r="Z13" s="7">
        <v>59.1</v>
      </c>
      <c r="AA13" s="4">
        <v>59.500000000000007</v>
      </c>
      <c r="AB13" s="4">
        <v>56.050000000000004</v>
      </c>
      <c r="AC13" s="4">
        <v>55.449999999999996</v>
      </c>
      <c r="AD13" s="4">
        <v>57.224999999999994</v>
      </c>
      <c r="AE13" s="4">
        <v>57.349999999999994</v>
      </c>
      <c r="AF13" s="4">
        <v>58.449999999999996</v>
      </c>
    </row>
    <row r="14" spans="1:32" x14ac:dyDescent="0.25">
      <c r="A14" s="5" t="s">
        <v>13</v>
      </c>
      <c r="B14" s="4">
        <v>69.7</v>
      </c>
      <c r="C14" s="4">
        <v>71</v>
      </c>
      <c r="D14" s="4">
        <v>69.8</v>
      </c>
      <c r="E14" s="4">
        <v>71.599999999999994</v>
      </c>
      <c r="F14" s="4">
        <v>71.5</v>
      </c>
      <c r="G14" s="6">
        <v>70.2</v>
      </c>
      <c r="H14" s="4">
        <v>69.400000000000006</v>
      </c>
      <c r="I14" s="4">
        <v>68.400000000000006</v>
      </c>
      <c r="J14" s="4">
        <v>70.3</v>
      </c>
      <c r="K14" s="4">
        <v>72.099999999999994</v>
      </c>
      <c r="L14" s="4">
        <v>70.7</v>
      </c>
      <c r="M14" s="4">
        <v>72</v>
      </c>
      <c r="N14" s="6">
        <v>71.400000000000006</v>
      </c>
      <c r="O14" s="3">
        <v>72.3</v>
      </c>
      <c r="P14" s="3">
        <v>72.599999999999994</v>
      </c>
      <c r="Q14" s="3">
        <v>70.3</v>
      </c>
      <c r="R14" s="3">
        <v>70.5</v>
      </c>
      <c r="S14" s="4">
        <v>71.7</v>
      </c>
      <c r="T14" s="4">
        <v>73</v>
      </c>
      <c r="U14" s="4">
        <v>74.400000000000006</v>
      </c>
      <c r="V14" s="8">
        <v>73.7</v>
      </c>
      <c r="W14" s="9">
        <v>74.2</v>
      </c>
      <c r="X14" s="7">
        <v>75.099999999999994</v>
      </c>
      <c r="Y14" s="7">
        <v>74.5</v>
      </c>
      <c r="Z14" s="7">
        <v>75</v>
      </c>
      <c r="AA14" s="4">
        <v>75.424999999999997</v>
      </c>
      <c r="AB14" s="4">
        <v>72.349999999999994</v>
      </c>
      <c r="AC14" s="4">
        <v>72.45</v>
      </c>
      <c r="AD14" s="4">
        <v>73.025000000000006</v>
      </c>
      <c r="AE14" s="4">
        <v>71.55</v>
      </c>
      <c r="AF14" s="4">
        <v>69.550000000000011</v>
      </c>
    </row>
    <row r="15" spans="1:32" x14ac:dyDescent="0.25">
      <c r="A15" s="5" t="s">
        <v>14</v>
      </c>
      <c r="B15" s="4">
        <v>62.4</v>
      </c>
      <c r="C15" s="4">
        <v>60.6</v>
      </c>
      <c r="D15" s="4">
        <v>60.9</v>
      </c>
      <c r="E15" s="4">
        <v>61</v>
      </c>
      <c r="F15" s="4">
        <v>61.4</v>
      </c>
      <c r="G15" s="6">
        <v>61.9</v>
      </c>
      <c r="H15" s="4">
        <v>63</v>
      </c>
      <c r="I15" s="4">
        <v>63</v>
      </c>
      <c r="J15" s="4">
        <v>62.4</v>
      </c>
      <c r="K15" s="4">
        <v>61.8</v>
      </c>
      <c r="L15" s="4">
        <v>64.2</v>
      </c>
      <c r="M15" s="4">
        <v>66.400000000000006</v>
      </c>
      <c r="N15" s="6">
        <v>68.2</v>
      </c>
      <c r="O15" s="3">
        <v>68.099999999999994</v>
      </c>
      <c r="P15" s="3">
        <v>68</v>
      </c>
      <c r="Q15" s="3">
        <v>67.099999999999994</v>
      </c>
      <c r="R15" s="3">
        <v>67.900000000000006</v>
      </c>
      <c r="S15" s="4">
        <v>69.400000000000006</v>
      </c>
      <c r="T15" s="4">
        <v>70.099999999999994</v>
      </c>
      <c r="U15" s="4">
        <v>70.7</v>
      </c>
      <c r="V15" s="8">
        <v>72.7</v>
      </c>
      <c r="W15" s="9">
        <v>70.900000000000006</v>
      </c>
      <c r="X15" s="7">
        <v>70.400000000000006</v>
      </c>
      <c r="Y15" s="7">
        <v>69.400000000000006</v>
      </c>
      <c r="Z15" s="7">
        <v>68.900000000000006</v>
      </c>
      <c r="AA15" s="4">
        <v>69.125</v>
      </c>
      <c r="AB15" s="4">
        <v>68.75</v>
      </c>
      <c r="AC15" s="4">
        <v>68.400000000000006</v>
      </c>
      <c r="AD15" s="4">
        <v>66.849999999999994</v>
      </c>
      <c r="AE15" s="4">
        <v>67.174999999999997</v>
      </c>
      <c r="AF15" s="4">
        <v>66.424999999999997</v>
      </c>
    </row>
    <row r="16" spans="1:32" x14ac:dyDescent="0.25">
      <c r="A16" s="5" t="s">
        <v>15</v>
      </c>
      <c r="B16" s="4">
        <v>69.900000000000006</v>
      </c>
      <c r="C16" s="4">
        <v>67.599999999999994</v>
      </c>
      <c r="D16" s="4">
        <v>67.599999999999994</v>
      </c>
      <c r="E16" s="4">
        <v>69.099999999999994</v>
      </c>
      <c r="F16" s="4">
        <v>68.3</v>
      </c>
      <c r="G16" s="6">
        <v>68.2</v>
      </c>
      <c r="H16" s="4">
        <v>67</v>
      </c>
      <c r="I16" s="4">
        <v>66.099999999999994</v>
      </c>
      <c r="J16" s="4">
        <v>67.599999999999994</v>
      </c>
      <c r="K16" s="4">
        <v>68.7</v>
      </c>
      <c r="L16" s="4">
        <v>68.400000000000006</v>
      </c>
      <c r="M16" s="4">
        <v>71</v>
      </c>
      <c r="N16" s="6">
        <v>74.2</v>
      </c>
      <c r="O16" s="3">
        <v>74.099999999999994</v>
      </c>
      <c r="P16" s="3">
        <v>72.599999999999994</v>
      </c>
      <c r="Q16" s="3">
        <v>72.900000000000006</v>
      </c>
      <c r="R16" s="3">
        <v>74.900000000000006</v>
      </c>
      <c r="S16" s="4">
        <v>75.3</v>
      </c>
      <c r="T16" s="4">
        <v>75.099999999999994</v>
      </c>
      <c r="U16" s="4">
        <v>74.400000000000006</v>
      </c>
      <c r="V16" s="8">
        <v>75.8</v>
      </c>
      <c r="W16" s="9">
        <v>75</v>
      </c>
      <c r="X16" s="7">
        <v>74.2</v>
      </c>
      <c r="Y16" s="7">
        <v>73.8</v>
      </c>
      <c r="Z16" s="7">
        <v>74.400000000000006</v>
      </c>
      <c r="AA16" s="4">
        <v>72.025000000000006</v>
      </c>
      <c r="AB16" s="4">
        <v>71.2</v>
      </c>
      <c r="AC16" s="4">
        <v>72.150000000000006</v>
      </c>
      <c r="AD16" s="4">
        <v>72.125</v>
      </c>
      <c r="AE16" s="4">
        <v>71.7</v>
      </c>
      <c r="AF16" s="4">
        <v>70.099999999999994</v>
      </c>
    </row>
    <row r="17" spans="1:32" x14ac:dyDescent="0.25">
      <c r="A17" s="5" t="s">
        <v>16</v>
      </c>
      <c r="B17" s="4">
        <v>71.3</v>
      </c>
      <c r="C17" s="4">
        <v>69.900000000000006</v>
      </c>
      <c r="D17" s="4">
        <v>69.2</v>
      </c>
      <c r="E17" s="4">
        <v>67.7</v>
      </c>
      <c r="F17" s="4">
        <v>68.3</v>
      </c>
      <c r="G17" s="6">
        <v>69.599999999999994</v>
      </c>
      <c r="H17" s="4">
        <v>70.7</v>
      </c>
      <c r="I17" s="4">
        <v>68.400000000000006</v>
      </c>
      <c r="J17" s="4">
        <v>66.3</v>
      </c>
      <c r="K17" s="4">
        <v>68.2</v>
      </c>
      <c r="L17" s="4">
        <v>70.099999999999994</v>
      </c>
      <c r="M17" s="4">
        <v>71.400000000000006</v>
      </c>
      <c r="N17" s="6">
        <v>72.8</v>
      </c>
      <c r="O17" s="3">
        <v>72.7</v>
      </c>
      <c r="P17" s="3">
        <v>72.099999999999994</v>
      </c>
      <c r="Q17" s="3">
        <v>73.900000000000006</v>
      </c>
      <c r="R17" s="3">
        <v>75.2</v>
      </c>
      <c r="S17" s="4">
        <v>76.599999999999994</v>
      </c>
      <c r="T17" s="4">
        <v>73.900000000000006</v>
      </c>
      <c r="U17" s="4">
        <v>73.400000000000006</v>
      </c>
      <c r="V17" s="8">
        <v>73.2</v>
      </c>
      <c r="W17" s="9">
        <v>73.900000000000006</v>
      </c>
      <c r="X17" s="7">
        <v>74</v>
      </c>
      <c r="Y17" s="7">
        <v>73.7</v>
      </c>
      <c r="Z17" s="7">
        <v>74</v>
      </c>
      <c r="AA17" s="4">
        <v>72.424999999999997</v>
      </c>
      <c r="AB17" s="4">
        <v>71.125</v>
      </c>
      <c r="AC17" s="4">
        <v>71.199999999999989</v>
      </c>
      <c r="AD17" s="4">
        <v>70.175000000000011</v>
      </c>
      <c r="AE17" s="4">
        <v>69.824999999999989</v>
      </c>
      <c r="AF17" s="4">
        <v>69.424999999999997</v>
      </c>
    </row>
    <row r="18" spans="1:32" x14ac:dyDescent="0.25">
      <c r="A18" s="5" t="s">
        <v>17</v>
      </c>
      <c r="B18" s="4">
        <v>72.7</v>
      </c>
      <c r="C18" s="4">
        <v>68.3</v>
      </c>
      <c r="D18" s="4">
        <v>66.400000000000006</v>
      </c>
      <c r="E18" s="4">
        <v>67.900000000000006</v>
      </c>
      <c r="F18" s="4">
        <v>68.599999999999994</v>
      </c>
      <c r="G18" s="6">
        <v>68.099999999999994</v>
      </c>
      <c r="H18" s="4">
        <v>69</v>
      </c>
      <c r="I18" s="4">
        <v>69.7</v>
      </c>
      <c r="J18" s="4">
        <v>69.8</v>
      </c>
      <c r="K18" s="4">
        <v>68.900000000000006</v>
      </c>
      <c r="L18" s="4">
        <v>69</v>
      </c>
      <c r="M18" s="4">
        <v>67.5</v>
      </c>
      <c r="N18" s="6">
        <v>67.5</v>
      </c>
      <c r="O18" s="3">
        <v>66.5</v>
      </c>
      <c r="P18" s="3">
        <v>66.7</v>
      </c>
      <c r="Q18" s="3">
        <v>67.5</v>
      </c>
      <c r="R18" s="3">
        <v>69.3</v>
      </c>
      <c r="S18" s="4">
        <v>70.400000000000006</v>
      </c>
      <c r="T18" s="4">
        <v>70.3</v>
      </c>
      <c r="U18" s="4">
        <v>70.3</v>
      </c>
      <c r="V18" s="8">
        <v>69.900000000000006</v>
      </c>
      <c r="W18" s="9">
        <v>69.5</v>
      </c>
      <c r="X18" s="7">
        <v>70</v>
      </c>
      <c r="Y18" s="7">
        <v>69.400000000000006</v>
      </c>
      <c r="Z18" s="7">
        <v>68.8</v>
      </c>
      <c r="AA18" s="4">
        <v>67.400000000000006</v>
      </c>
      <c r="AB18" s="4">
        <v>67.375</v>
      </c>
      <c r="AC18" s="4">
        <v>65.400000000000006</v>
      </c>
      <c r="AD18" s="4">
        <v>63.199999999999996</v>
      </c>
      <c r="AE18" s="4">
        <v>63.5</v>
      </c>
      <c r="AF18" s="4">
        <v>64.7</v>
      </c>
    </row>
    <row r="19" spans="1:32" x14ac:dyDescent="0.25">
      <c r="A19" s="5" t="s">
        <v>18</v>
      </c>
      <c r="B19" s="4">
        <v>70.2</v>
      </c>
      <c r="C19" s="4">
        <v>68.5</v>
      </c>
      <c r="D19" s="4">
        <v>68.099999999999994</v>
      </c>
      <c r="E19" s="4">
        <v>67.599999999999994</v>
      </c>
      <c r="F19" s="4">
        <v>65.400000000000006</v>
      </c>
      <c r="G19" s="6">
        <v>64.900000000000006</v>
      </c>
      <c r="H19" s="4">
        <v>65.8</v>
      </c>
      <c r="I19" s="4">
        <v>67.2</v>
      </c>
      <c r="J19" s="4">
        <v>69</v>
      </c>
      <c r="K19" s="4">
        <v>68.8</v>
      </c>
      <c r="L19" s="4">
        <v>70.599999999999994</v>
      </c>
      <c r="M19" s="4">
        <v>71.2</v>
      </c>
      <c r="N19" s="6">
        <v>73.2</v>
      </c>
      <c r="O19" s="3">
        <v>75</v>
      </c>
      <c r="P19" s="3">
        <v>75.099999999999994</v>
      </c>
      <c r="Q19" s="3">
        <v>73.900000000000006</v>
      </c>
      <c r="R19" s="3">
        <v>73.400000000000006</v>
      </c>
      <c r="S19" s="4">
        <v>73.900000000000006</v>
      </c>
      <c r="T19" s="4">
        <v>73.7</v>
      </c>
      <c r="U19" s="4">
        <v>74.400000000000006</v>
      </c>
      <c r="V19" s="8">
        <v>73.3</v>
      </c>
      <c r="W19" s="9">
        <v>71.599999999999994</v>
      </c>
      <c r="X19" s="7">
        <v>71.7</v>
      </c>
      <c r="Y19" s="7">
        <v>72.900000000000006</v>
      </c>
      <c r="Z19" s="7">
        <v>72.8</v>
      </c>
      <c r="AA19" s="4">
        <v>71.200000000000017</v>
      </c>
      <c r="AB19" s="4">
        <v>70.275000000000006</v>
      </c>
      <c r="AC19" s="4">
        <v>69.100000000000009</v>
      </c>
      <c r="AD19" s="4">
        <v>68.724999999999994</v>
      </c>
      <c r="AE19" s="4">
        <v>67.5</v>
      </c>
      <c r="AF19" s="4">
        <v>67.625</v>
      </c>
    </row>
    <row r="20" spans="1:32" x14ac:dyDescent="0.25">
      <c r="A20" s="5" t="s">
        <v>19</v>
      </c>
      <c r="B20" s="4">
        <v>70.099999999999994</v>
      </c>
      <c r="C20" s="4">
        <v>70.2</v>
      </c>
      <c r="D20" s="4">
        <v>70.400000000000006</v>
      </c>
      <c r="E20" s="4">
        <v>71</v>
      </c>
      <c r="F20" s="4">
        <v>68.5</v>
      </c>
      <c r="G20" s="6">
        <v>66.3</v>
      </c>
      <c r="H20" s="4">
        <v>67.8</v>
      </c>
      <c r="I20" s="4">
        <v>68.900000000000006</v>
      </c>
      <c r="J20" s="4">
        <v>66.7</v>
      </c>
      <c r="K20" s="4">
        <v>65.400000000000006</v>
      </c>
      <c r="L20" s="4">
        <v>65.8</v>
      </c>
      <c r="M20" s="4">
        <v>65.3</v>
      </c>
      <c r="N20" s="6">
        <v>64.900000000000006</v>
      </c>
      <c r="O20" s="3">
        <v>66.400000000000006</v>
      </c>
      <c r="P20" s="3">
        <v>66.599999999999994</v>
      </c>
      <c r="Q20" s="3">
        <v>66.8</v>
      </c>
      <c r="R20" s="3">
        <v>68.099999999999994</v>
      </c>
      <c r="S20" s="4">
        <v>67.099999999999994</v>
      </c>
      <c r="T20" s="4">
        <v>67.400000000000006</v>
      </c>
      <c r="U20" s="4">
        <v>67.5</v>
      </c>
      <c r="V20" s="8">
        <v>70.599999999999994</v>
      </c>
      <c r="W20" s="9">
        <v>72.5</v>
      </c>
      <c r="X20" s="7">
        <v>71.3</v>
      </c>
      <c r="Y20" s="7">
        <v>71.5</v>
      </c>
      <c r="Z20" s="7">
        <v>73.5</v>
      </c>
      <c r="AA20" s="4">
        <v>71.900000000000006</v>
      </c>
      <c r="AB20" s="4">
        <v>70.400000000000006</v>
      </c>
      <c r="AC20" s="4">
        <v>70.099999999999994</v>
      </c>
      <c r="AD20" s="4">
        <v>68.774999999999991</v>
      </c>
      <c r="AE20" s="4">
        <v>67.825000000000003</v>
      </c>
      <c r="AF20" s="4">
        <v>65.300000000000011</v>
      </c>
    </row>
    <row r="21" spans="1:32" x14ac:dyDescent="0.25">
      <c r="A21" s="5" t="s">
        <v>20</v>
      </c>
      <c r="B21" s="4">
        <v>74.099999999999994</v>
      </c>
      <c r="C21" s="4">
        <v>73.7</v>
      </c>
      <c r="D21" s="4">
        <v>74</v>
      </c>
      <c r="E21" s="4">
        <v>73.2</v>
      </c>
      <c r="F21" s="4">
        <v>72.2</v>
      </c>
      <c r="G21" s="6">
        <v>73.599999999999994</v>
      </c>
      <c r="H21" s="4">
        <v>74.2</v>
      </c>
      <c r="I21" s="4">
        <v>72</v>
      </c>
      <c r="J21" s="4">
        <v>72</v>
      </c>
      <c r="K21" s="4">
        <v>71.900000000000006</v>
      </c>
      <c r="L21" s="4">
        <v>72.599999999999994</v>
      </c>
      <c r="M21" s="4">
        <v>76.7</v>
      </c>
      <c r="N21" s="6">
        <v>76.5</v>
      </c>
      <c r="O21" s="3">
        <v>74.900000000000006</v>
      </c>
      <c r="P21" s="3">
        <v>74.599999999999994</v>
      </c>
      <c r="Q21" s="3">
        <v>77.400000000000006</v>
      </c>
      <c r="R21" s="3">
        <v>76.5</v>
      </c>
      <c r="S21" s="4">
        <v>75.5</v>
      </c>
      <c r="T21" s="4">
        <v>74</v>
      </c>
      <c r="U21" s="4">
        <v>73.7</v>
      </c>
      <c r="V21" s="8">
        <v>74.7</v>
      </c>
      <c r="W21" s="9">
        <v>73.900000000000006</v>
      </c>
      <c r="X21" s="7">
        <v>75.3</v>
      </c>
      <c r="Y21" s="7">
        <v>74.3</v>
      </c>
      <c r="Z21" s="7">
        <v>73.900000000000006</v>
      </c>
      <c r="AA21" s="4">
        <v>74.050000000000011</v>
      </c>
      <c r="AB21" s="4">
        <v>73.825000000000003</v>
      </c>
      <c r="AC21" s="4">
        <v>73.900000000000006</v>
      </c>
      <c r="AD21" s="4">
        <v>74.125</v>
      </c>
      <c r="AE21" s="4">
        <v>73.5</v>
      </c>
      <c r="AF21" s="4">
        <v>71.024999999999991</v>
      </c>
    </row>
    <row r="22" spans="1:32" x14ac:dyDescent="0.25">
      <c r="A22" s="5" t="s">
        <v>21</v>
      </c>
      <c r="B22" s="4">
        <v>67.8</v>
      </c>
      <c r="C22" s="4">
        <v>65.599999999999994</v>
      </c>
      <c r="D22" s="4">
        <v>62.8</v>
      </c>
      <c r="E22" s="4">
        <v>62.7</v>
      </c>
      <c r="F22" s="4">
        <v>63.5</v>
      </c>
      <c r="G22" s="6">
        <v>65.5</v>
      </c>
      <c r="H22" s="4">
        <v>64.900000000000006</v>
      </c>
      <c r="I22" s="4">
        <v>63.8</v>
      </c>
      <c r="J22" s="4">
        <v>64.8</v>
      </c>
      <c r="K22" s="4">
        <v>65.5</v>
      </c>
      <c r="L22" s="4">
        <v>64.099999999999994</v>
      </c>
      <c r="M22" s="4">
        <v>65.8</v>
      </c>
      <c r="N22" s="6">
        <v>66.900000000000006</v>
      </c>
      <c r="O22" s="3">
        <v>70.5</v>
      </c>
      <c r="P22" s="3">
        <v>68.7</v>
      </c>
      <c r="Q22" s="3">
        <v>69.599999999999994</v>
      </c>
      <c r="R22" s="3">
        <v>69.900000000000006</v>
      </c>
      <c r="S22" s="4">
        <v>70.7</v>
      </c>
      <c r="T22" s="4">
        <v>72</v>
      </c>
      <c r="U22" s="4">
        <v>71.599999999999994</v>
      </c>
      <c r="V22" s="8">
        <v>72.099999999999994</v>
      </c>
      <c r="W22" s="9">
        <v>71.2</v>
      </c>
      <c r="X22" s="7">
        <v>72.599999999999994</v>
      </c>
      <c r="Y22" s="7">
        <v>71.7</v>
      </c>
      <c r="Z22" s="7">
        <v>70.599999999999994</v>
      </c>
      <c r="AA22" s="4">
        <v>69.650000000000006</v>
      </c>
      <c r="AB22" s="4">
        <v>68.924999999999997</v>
      </c>
      <c r="AC22" s="4">
        <v>69.699999999999989</v>
      </c>
      <c r="AD22" s="4">
        <v>68.474999999999994</v>
      </c>
      <c r="AE22" s="4">
        <v>66.900000000000006</v>
      </c>
      <c r="AF22" s="4">
        <v>66.224999999999994</v>
      </c>
    </row>
    <row r="23" spans="1:32" x14ac:dyDescent="0.25">
      <c r="A23" s="5" t="s">
        <v>22</v>
      </c>
      <c r="B23" s="4">
        <v>61.7</v>
      </c>
      <c r="C23" s="4">
        <v>60.5</v>
      </c>
      <c r="D23" s="4">
        <v>60.3</v>
      </c>
      <c r="E23" s="4">
        <v>60.6</v>
      </c>
      <c r="F23" s="4">
        <v>60</v>
      </c>
      <c r="G23" s="6">
        <v>58.9</v>
      </c>
      <c r="H23" s="4">
        <v>58.6</v>
      </c>
      <c r="I23" s="4">
        <v>60.2</v>
      </c>
      <c r="J23" s="4">
        <v>61.8</v>
      </c>
      <c r="K23" s="4">
        <v>60.7</v>
      </c>
      <c r="L23" s="4">
        <v>60.6</v>
      </c>
      <c r="M23" s="4">
        <v>60.2</v>
      </c>
      <c r="N23" s="5">
        <v>61.7</v>
      </c>
      <c r="O23" s="3">
        <v>62.3</v>
      </c>
      <c r="P23" s="3">
        <v>61.3</v>
      </c>
      <c r="Q23" s="3">
        <v>60.3</v>
      </c>
      <c r="R23" s="3">
        <v>59.9</v>
      </c>
      <c r="S23" s="4">
        <v>60.6</v>
      </c>
      <c r="T23" s="4">
        <v>62.6</v>
      </c>
      <c r="U23" s="4">
        <v>64.3</v>
      </c>
      <c r="V23" s="8">
        <v>63.8</v>
      </c>
      <c r="W23" s="9">
        <v>63.4</v>
      </c>
      <c r="X23" s="7">
        <v>65.2</v>
      </c>
      <c r="Y23" s="7">
        <v>64.3</v>
      </c>
      <c r="Z23" s="7">
        <v>65.7</v>
      </c>
      <c r="AA23" s="4">
        <v>65.125</v>
      </c>
      <c r="AB23" s="4">
        <v>65.375</v>
      </c>
      <c r="AC23" s="4">
        <v>65.3</v>
      </c>
      <c r="AD23" s="4">
        <v>65.825000000000003</v>
      </c>
      <c r="AE23" s="4">
        <v>65.274999999999991</v>
      </c>
      <c r="AF23" s="4">
        <v>63</v>
      </c>
    </row>
    <row r="24" spans="1:32" x14ac:dyDescent="0.25">
      <c r="A24" s="5" t="s">
        <v>23</v>
      </c>
      <c r="B24" s="4">
        <v>72.7</v>
      </c>
      <c r="C24" s="4">
        <v>70.7</v>
      </c>
      <c r="D24" s="4">
        <v>70.900000000000006</v>
      </c>
      <c r="E24" s="4">
        <v>71.7</v>
      </c>
      <c r="F24" s="4">
        <v>72.5</v>
      </c>
      <c r="G24" s="6">
        <v>73.2</v>
      </c>
      <c r="H24" s="4">
        <v>72.3</v>
      </c>
      <c r="I24" s="4">
        <v>70.599999999999994</v>
      </c>
      <c r="J24" s="4">
        <v>70.599999999999994</v>
      </c>
      <c r="K24" s="4">
        <v>72.3</v>
      </c>
      <c r="L24" s="4">
        <v>72</v>
      </c>
      <c r="M24" s="4">
        <v>72.2</v>
      </c>
      <c r="N24" s="6">
        <v>73.3</v>
      </c>
      <c r="O24" s="3">
        <v>73.3</v>
      </c>
      <c r="P24" s="3">
        <v>74.400000000000006</v>
      </c>
      <c r="Q24" s="3">
        <v>76.5</v>
      </c>
      <c r="R24" s="3">
        <v>77.2</v>
      </c>
      <c r="S24" s="4">
        <v>77.099999999999994</v>
      </c>
      <c r="T24" s="4">
        <v>76</v>
      </c>
      <c r="U24" s="4">
        <v>75.599999999999994</v>
      </c>
      <c r="V24" s="8">
        <v>77.099999999999994</v>
      </c>
      <c r="W24" s="9">
        <v>76.400000000000006</v>
      </c>
      <c r="X24" s="7">
        <v>77.400000000000006</v>
      </c>
      <c r="Y24" s="7">
        <v>76.400000000000006</v>
      </c>
      <c r="Z24" s="7">
        <v>75.900000000000006</v>
      </c>
      <c r="AA24" s="4">
        <v>74.5</v>
      </c>
      <c r="AB24" s="4">
        <v>74.474999999999994</v>
      </c>
      <c r="AC24" s="4">
        <v>74.074999999999989</v>
      </c>
      <c r="AD24" s="4">
        <v>74.8</v>
      </c>
      <c r="AE24" s="4">
        <v>73.849999999999994</v>
      </c>
      <c r="AF24" s="4">
        <v>73.875</v>
      </c>
    </row>
    <row r="25" spans="1:32" x14ac:dyDescent="0.25">
      <c r="A25" s="5" t="s">
        <v>24</v>
      </c>
      <c r="B25" s="4">
        <v>72.599999999999994</v>
      </c>
      <c r="C25" s="4">
        <v>70</v>
      </c>
      <c r="D25" s="4">
        <v>68</v>
      </c>
      <c r="E25" s="4">
        <v>68.900000000000006</v>
      </c>
      <c r="F25" s="4">
        <v>69.099999999999994</v>
      </c>
      <c r="G25" s="6">
        <v>68.3</v>
      </c>
      <c r="H25" s="4">
        <v>68</v>
      </c>
      <c r="I25" s="4">
        <v>68.900000000000006</v>
      </c>
      <c r="J25" s="4">
        <v>66.7</v>
      </c>
      <c r="K25" s="4">
        <v>65.8</v>
      </c>
      <c r="L25" s="4">
        <v>68.900000000000006</v>
      </c>
      <c r="M25" s="4">
        <v>73.3</v>
      </c>
      <c r="N25" s="6">
        <v>75.400000000000006</v>
      </c>
      <c r="O25" s="3">
        <v>75.400000000000006</v>
      </c>
      <c r="P25" s="3">
        <v>75.400000000000006</v>
      </c>
      <c r="Q25" s="3">
        <v>76.099999999999994</v>
      </c>
      <c r="R25" s="3">
        <v>76.099999999999994</v>
      </c>
      <c r="S25" s="4">
        <v>76.099999999999994</v>
      </c>
      <c r="T25" s="4">
        <v>77.3</v>
      </c>
      <c r="U25" s="4">
        <v>77.2</v>
      </c>
      <c r="V25" s="8">
        <v>76.400000000000006</v>
      </c>
      <c r="W25" s="9">
        <v>76.5</v>
      </c>
      <c r="X25" s="7">
        <v>75.599999999999994</v>
      </c>
      <c r="Y25" s="7">
        <v>73.5</v>
      </c>
      <c r="Z25" s="7">
        <v>73.099999999999994</v>
      </c>
      <c r="AA25" s="4">
        <v>72.900000000000006</v>
      </c>
      <c r="AB25" s="4">
        <v>72.599999999999994</v>
      </c>
      <c r="AC25" s="4">
        <v>71.275000000000006</v>
      </c>
      <c r="AD25" s="4">
        <v>72.025000000000006</v>
      </c>
      <c r="AE25" s="4">
        <v>73.400000000000006</v>
      </c>
      <c r="AF25" s="4">
        <v>71.424999999999997</v>
      </c>
    </row>
    <row r="26" spans="1:32" x14ac:dyDescent="0.25">
      <c r="A26" s="5" t="s">
        <v>25</v>
      </c>
      <c r="B26" s="4">
        <v>72.3</v>
      </c>
      <c r="C26" s="4">
        <v>69.599999999999994</v>
      </c>
      <c r="D26" s="4">
        <v>70.400000000000006</v>
      </c>
      <c r="E26" s="4">
        <v>72.5</v>
      </c>
      <c r="F26" s="4">
        <v>73.7</v>
      </c>
      <c r="G26" s="6">
        <v>72.2</v>
      </c>
      <c r="H26" s="4">
        <v>69.400000000000006</v>
      </c>
      <c r="I26" s="4">
        <v>71.8</v>
      </c>
      <c r="J26" s="4">
        <v>70.400000000000006</v>
      </c>
      <c r="K26" s="4">
        <v>69.7</v>
      </c>
      <c r="L26" s="4">
        <v>69.2</v>
      </c>
      <c r="M26" s="4">
        <v>71.099999999999994</v>
      </c>
      <c r="N26" s="6">
        <v>73</v>
      </c>
      <c r="O26" s="3">
        <v>73.7</v>
      </c>
      <c r="P26" s="3">
        <v>75.099999999999994</v>
      </c>
      <c r="Q26" s="3">
        <v>74.900000000000006</v>
      </c>
      <c r="R26" s="3">
        <v>75.2</v>
      </c>
      <c r="S26" s="4">
        <v>74.5</v>
      </c>
      <c r="T26" s="4">
        <v>74.900000000000006</v>
      </c>
      <c r="U26" s="4">
        <v>73.400000000000006</v>
      </c>
      <c r="V26" s="8">
        <v>74</v>
      </c>
      <c r="W26" s="9">
        <v>78.8</v>
      </c>
      <c r="X26" s="7">
        <v>76.2</v>
      </c>
      <c r="Y26" s="7">
        <v>74</v>
      </c>
      <c r="Z26" s="7">
        <v>75.400000000000006</v>
      </c>
      <c r="AA26" s="4">
        <v>75.475000000000009</v>
      </c>
      <c r="AB26" s="4">
        <v>74.75</v>
      </c>
      <c r="AC26" s="4">
        <v>74.849999999999994</v>
      </c>
      <c r="AD26" s="4">
        <v>74.199999999999989</v>
      </c>
      <c r="AE26" s="4">
        <v>74.224999999999994</v>
      </c>
      <c r="AF26" s="4">
        <v>73.224999999999994</v>
      </c>
    </row>
    <row r="27" spans="1:32" x14ac:dyDescent="0.25">
      <c r="A27" s="5" t="s">
        <v>26</v>
      </c>
      <c r="B27" s="4">
        <v>69.5</v>
      </c>
      <c r="C27" s="4">
        <v>69.2</v>
      </c>
      <c r="D27" s="4">
        <v>67.8</v>
      </c>
      <c r="E27" s="4">
        <v>66.099999999999994</v>
      </c>
      <c r="F27" s="4">
        <v>64.8</v>
      </c>
      <c r="G27" s="6">
        <v>63.7</v>
      </c>
      <c r="H27" s="4">
        <v>64</v>
      </c>
      <c r="I27" s="4">
        <v>64.2</v>
      </c>
      <c r="J27" s="4">
        <v>65.2</v>
      </c>
      <c r="K27" s="4">
        <v>66.400000000000006</v>
      </c>
      <c r="L27" s="4">
        <v>68.400000000000006</v>
      </c>
      <c r="M27" s="4">
        <v>69.400000000000006</v>
      </c>
      <c r="N27" s="6">
        <v>70.2</v>
      </c>
      <c r="O27" s="3">
        <v>70.5</v>
      </c>
      <c r="P27" s="3">
        <v>70.7</v>
      </c>
      <c r="Q27" s="3">
        <v>72.900000000000006</v>
      </c>
      <c r="R27" s="3">
        <v>74.2</v>
      </c>
      <c r="S27" s="4">
        <v>74</v>
      </c>
      <c r="T27" s="4">
        <v>74.8</v>
      </c>
      <c r="U27" s="4">
        <v>74</v>
      </c>
      <c r="V27" s="8">
        <v>72.400000000000006</v>
      </c>
      <c r="W27" s="9">
        <v>72.3</v>
      </c>
      <c r="X27" s="7">
        <v>71.900000000000006</v>
      </c>
      <c r="Y27" s="7">
        <v>70.400000000000006</v>
      </c>
      <c r="Z27" s="7">
        <v>71.400000000000006</v>
      </c>
      <c r="AA27" s="4">
        <v>72</v>
      </c>
      <c r="AB27" s="4">
        <v>71.225000000000009</v>
      </c>
      <c r="AC27" s="4">
        <v>71.150000000000006</v>
      </c>
      <c r="AD27" s="4">
        <v>70.75</v>
      </c>
      <c r="AE27" s="4">
        <v>71.325000000000003</v>
      </c>
      <c r="AF27" s="4">
        <v>70.525000000000006</v>
      </c>
    </row>
    <row r="28" spans="1:32" x14ac:dyDescent="0.25">
      <c r="A28" s="5" t="s">
        <v>27</v>
      </c>
      <c r="B28" s="4">
        <v>66.400000000000006</v>
      </c>
      <c r="C28" s="4">
        <v>66.5</v>
      </c>
      <c r="D28" s="4">
        <v>64.400000000000006</v>
      </c>
      <c r="E28" s="4">
        <v>65</v>
      </c>
      <c r="F28" s="4">
        <v>65.400000000000006</v>
      </c>
      <c r="G28" s="6">
        <v>67.900000000000006</v>
      </c>
      <c r="H28" s="4">
        <v>69.099999999999994</v>
      </c>
      <c r="I28" s="4">
        <v>69.599999999999994</v>
      </c>
      <c r="J28" s="4">
        <v>69.900000000000006</v>
      </c>
      <c r="K28" s="4">
        <v>69.7</v>
      </c>
      <c r="L28" s="4">
        <v>68.8</v>
      </c>
      <c r="M28" s="4">
        <v>68.7</v>
      </c>
      <c r="N28" s="6">
        <v>68.599999999999994</v>
      </c>
      <c r="O28" s="3">
        <v>67.5</v>
      </c>
      <c r="P28" s="3">
        <v>68.599999999999994</v>
      </c>
      <c r="Q28" s="3">
        <v>70.599999999999994</v>
      </c>
      <c r="R28" s="3">
        <v>70.2</v>
      </c>
      <c r="S28" s="4">
        <v>68.3</v>
      </c>
      <c r="T28" s="4">
        <v>69.400000000000006</v>
      </c>
      <c r="U28" s="4">
        <v>71.5</v>
      </c>
      <c r="V28" s="8">
        <v>72.400000000000006</v>
      </c>
      <c r="W28" s="9">
        <v>70.400000000000006</v>
      </c>
      <c r="X28" s="7">
        <v>69.5</v>
      </c>
      <c r="Y28" s="7">
        <v>67.3</v>
      </c>
      <c r="Z28" s="7">
        <v>70.3</v>
      </c>
      <c r="AA28" s="4">
        <v>70.724999999999994</v>
      </c>
      <c r="AB28" s="4">
        <v>68.125</v>
      </c>
      <c r="AC28" s="4">
        <v>68.375</v>
      </c>
      <c r="AD28" s="4">
        <v>67.849999999999994</v>
      </c>
      <c r="AE28" s="4">
        <v>67.45</v>
      </c>
      <c r="AF28" s="4">
        <v>66.875</v>
      </c>
    </row>
    <row r="29" spans="1:32" x14ac:dyDescent="0.25">
      <c r="A29" s="5" t="s">
        <v>28</v>
      </c>
      <c r="B29" s="4">
        <v>69.3</v>
      </c>
      <c r="C29" s="4">
        <v>68.5</v>
      </c>
      <c r="D29" s="4">
        <v>68.3</v>
      </c>
      <c r="E29" s="4">
        <v>66.8</v>
      </c>
      <c r="F29" s="4">
        <v>66.599999999999994</v>
      </c>
      <c r="G29" s="6">
        <v>67.2</v>
      </c>
      <c r="H29" s="4">
        <v>67.3</v>
      </c>
      <c r="I29" s="4">
        <v>67.5</v>
      </c>
      <c r="J29" s="4">
        <v>68.400000000000006</v>
      </c>
      <c r="K29" s="4">
        <v>67.7</v>
      </c>
      <c r="L29" s="4">
        <v>68</v>
      </c>
      <c r="M29" s="4">
        <v>67.099999999999994</v>
      </c>
      <c r="N29" s="6">
        <v>66.8</v>
      </c>
      <c r="O29" s="3">
        <v>66.7</v>
      </c>
      <c r="P29" s="3">
        <v>69.900000000000006</v>
      </c>
      <c r="Q29" s="3">
        <v>70.900000000000006</v>
      </c>
      <c r="R29" s="3">
        <v>70.2</v>
      </c>
      <c r="S29" s="4">
        <v>70.099999999999994</v>
      </c>
      <c r="T29" s="4">
        <v>68.5</v>
      </c>
      <c r="U29" s="4">
        <v>69.5</v>
      </c>
      <c r="V29" s="8">
        <v>71.2</v>
      </c>
      <c r="W29" s="9">
        <v>70.2</v>
      </c>
      <c r="X29" s="7">
        <v>67.599999999999994</v>
      </c>
      <c r="Y29" s="7">
        <v>68.2</v>
      </c>
      <c r="Z29" s="7">
        <v>69.599999999999994</v>
      </c>
      <c r="AA29" s="4">
        <v>70.25</v>
      </c>
      <c r="AB29" s="4">
        <v>70.375</v>
      </c>
      <c r="AC29" s="4">
        <v>68.974999999999994</v>
      </c>
      <c r="AD29" s="4">
        <v>69.349999999999994</v>
      </c>
      <c r="AE29" s="4">
        <v>68.175000000000011</v>
      </c>
      <c r="AF29" s="4">
        <v>66.75</v>
      </c>
    </row>
    <row r="30" spans="1:32" x14ac:dyDescent="0.25">
      <c r="A30" s="5" t="s">
        <v>29</v>
      </c>
      <c r="B30" s="4">
        <v>58.9</v>
      </c>
      <c r="C30" s="4">
        <v>57</v>
      </c>
      <c r="D30" s="4">
        <v>54.5</v>
      </c>
      <c r="E30" s="4">
        <v>54.1</v>
      </c>
      <c r="F30" s="4">
        <v>54.3</v>
      </c>
      <c r="G30" s="6">
        <v>54.3</v>
      </c>
      <c r="H30" s="4">
        <v>55.8</v>
      </c>
      <c r="I30" s="4">
        <v>55.8</v>
      </c>
      <c r="J30" s="4">
        <v>55.1</v>
      </c>
      <c r="K30" s="4">
        <v>55.8</v>
      </c>
      <c r="L30" s="4">
        <v>55.8</v>
      </c>
      <c r="M30" s="4">
        <v>58.6</v>
      </c>
      <c r="N30" s="6">
        <v>61.1</v>
      </c>
      <c r="O30" s="3">
        <v>61.2</v>
      </c>
      <c r="P30" s="3">
        <v>61.4</v>
      </c>
      <c r="Q30" s="3">
        <v>63.7</v>
      </c>
      <c r="R30" s="3">
        <v>64</v>
      </c>
      <c r="S30" s="4">
        <v>64.599999999999994</v>
      </c>
      <c r="T30" s="4">
        <v>65.3</v>
      </c>
      <c r="U30" s="4">
        <v>64.8</v>
      </c>
      <c r="V30" s="8">
        <v>65.7</v>
      </c>
      <c r="W30" s="9">
        <v>63.4</v>
      </c>
      <c r="X30" s="7">
        <v>65.7</v>
      </c>
      <c r="Y30" s="7">
        <v>63.3</v>
      </c>
      <c r="Z30" s="7">
        <v>63.6</v>
      </c>
      <c r="AA30" s="4">
        <v>62.400000000000006</v>
      </c>
      <c r="AB30" s="4">
        <v>59.75</v>
      </c>
      <c r="AC30" s="4">
        <v>56.225000000000001</v>
      </c>
      <c r="AD30" s="4">
        <v>55.75</v>
      </c>
      <c r="AE30" s="4">
        <v>56.024999999999999</v>
      </c>
      <c r="AF30" s="4">
        <v>55.924999999999997</v>
      </c>
    </row>
    <row r="31" spans="1:32" x14ac:dyDescent="0.25">
      <c r="A31" s="5" t="s">
        <v>30</v>
      </c>
      <c r="B31" s="4">
        <v>67.099999999999994</v>
      </c>
      <c r="C31" s="4">
        <v>65.5</v>
      </c>
      <c r="D31" s="4">
        <v>64.8</v>
      </c>
      <c r="E31" s="4">
        <v>66.400000000000006</v>
      </c>
      <c r="F31" s="4">
        <v>67.900000000000006</v>
      </c>
      <c r="G31" s="6">
        <v>67</v>
      </c>
      <c r="H31" s="4">
        <v>65</v>
      </c>
      <c r="I31" s="4">
        <v>66.8</v>
      </c>
      <c r="J31" s="4">
        <v>66.599999999999994</v>
      </c>
      <c r="K31" s="4">
        <v>65.400000000000006</v>
      </c>
      <c r="L31" s="4">
        <v>65.099999999999994</v>
      </c>
      <c r="M31" s="4">
        <v>66</v>
      </c>
      <c r="N31" s="6">
        <v>65</v>
      </c>
      <c r="O31" s="3">
        <v>66.8</v>
      </c>
      <c r="P31" s="3">
        <v>69.599999999999994</v>
      </c>
      <c r="Q31" s="3">
        <v>70.2</v>
      </c>
      <c r="R31" s="3">
        <v>69.2</v>
      </c>
      <c r="S31" s="4">
        <v>68.400000000000006</v>
      </c>
      <c r="T31" s="4">
        <v>69.5</v>
      </c>
      <c r="U31" s="4">
        <v>74.400000000000006</v>
      </c>
      <c r="V31" s="8">
        <v>73.3</v>
      </c>
      <c r="W31" s="9">
        <v>74</v>
      </c>
      <c r="X31" s="7">
        <v>74.2</v>
      </c>
      <c r="Y31" s="7">
        <v>73.8</v>
      </c>
      <c r="Z31" s="7">
        <v>75</v>
      </c>
      <c r="AA31" s="4">
        <v>76.025000000000006</v>
      </c>
      <c r="AB31" s="4">
        <v>74.875</v>
      </c>
      <c r="AC31" s="4">
        <v>74.125</v>
      </c>
      <c r="AD31" s="4">
        <v>74.75</v>
      </c>
      <c r="AE31" s="4">
        <v>74.125</v>
      </c>
      <c r="AF31" s="4">
        <v>72.199999999999989</v>
      </c>
    </row>
    <row r="32" spans="1:32" x14ac:dyDescent="0.25">
      <c r="A32" s="5" t="s">
        <v>31</v>
      </c>
      <c r="B32" s="4">
        <v>63.4</v>
      </c>
      <c r="C32" s="4">
        <v>62.3</v>
      </c>
      <c r="D32" s="4">
        <v>63.3</v>
      </c>
      <c r="E32" s="4">
        <v>64</v>
      </c>
      <c r="F32" s="4">
        <v>64.8</v>
      </c>
      <c r="G32" s="6">
        <v>65.7</v>
      </c>
      <c r="H32" s="4">
        <v>65</v>
      </c>
      <c r="I32" s="4">
        <v>64.8</v>
      </c>
      <c r="J32" s="4">
        <v>64.599999999999994</v>
      </c>
      <c r="K32" s="4">
        <v>64.5</v>
      </c>
      <c r="L32" s="4">
        <v>64.099999999999994</v>
      </c>
      <c r="M32" s="4">
        <v>64.900000000000006</v>
      </c>
      <c r="N32" s="6">
        <v>64.599999999999994</v>
      </c>
      <c r="O32" s="3">
        <v>63.1</v>
      </c>
      <c r="P32" s="3">
        <v>63.1</v>
      </c>
      <c r="Q32" s="3">
        <v>64.5</v>
      </c>
      <c r="R32" s="3">
        <v>66.2</v>
      </c>
      <c r="S32" s="4">
        <v>66.5</v>
      </c>
      <c r="T32" s="4">
        <v>66.900000000000006</v>
      </c>
      <c r="U32" s="4">
        <v>66.900000000000006</v>
      </c>
      <c r="V32" s="8">
        <v>68.8</v>
      </c>
      <c r="W32" s="9">
        <v>70.099999999999994</v>
      </c>
      <c r="X32" s="7">
        <v>69</v>
      </c>
      <c r="Y32" s="7">
        <v>68.3</v>
      </c>
      <c r="Z32" s="7">
        <v>67.3</v>
      </c>
      <c r="AA32" s="4">
        <v>65.900000000000006</v>
      </c>
      <c r="AB32" s="4">
        <v>66.5</v>
      </c>
      <c r="AC32" s="4">
        <v>66.375</v>
      </c>
      <c r="AD32" s="4">
        <v>66.550000000000011</v>
      </c>
      <c r="AE32" s="4">
        <v>64.949999999999989</v>
      </c>
      <c r="AF32" s="4">
        <v>65.150000000000006</v>
      </c>
    </row>
    <row r="33" spans="1:32" x14ac:dyDescent="0.25">
      <c r="A33" s="5" t="s">
        <v>32</v>
      </c>
      <c r="B33" s="4">
        <v>68</v>
      </c>
      <c r="C33" s="4">
        <v>68.2</v>
      </c>
      <c r="D33" s="4">
        <v>67.8</v>
      </c>
      <c r="E33" s="4">
        <v>67.2</v>
      </c>
      <c r="F33" s="4">
        <v>65.400000000000006</v>
      </c>
      <c r="G33" s="6">
        <v>65.5</v>
      </c>
      <c r="H33" s="4">
        <v>68.599999999999994</v>
      </c>
      <c r="I33" s="4">
        <v>69.5</v>
      </c>
      <c r="J33" s="4">
        <v>70.5</v>
      </c>
      <c r="K33" s="4">
        <v>69.099999999999994</v>
      </c>
      <c r="L33" s="4">
        <v>66.8</v>
      </c>
      <c r="M33" s="4">
        <v>67</v>
      </c>
      <c r="N33" s="6">
        <v>67.099999999999994</v>
      </c>
      <c r="O33" s="3">
        <v>69.599999999999994</v>
      </c>
      <c r="P33" s="3">
        <v>71.3</v>
      </c>
      <c r="Q33" s="3">
        <v>72.599999999999994</v>
      </c>
      <c r="R33" s="3">
        <v>73.7</v>
      </c>
      <c r="S33" s="4">
        <v>70.8</v>
      </c>
      <c r="T33" s="4">
        <v>70</v>
      </c>
      <c r="U33" s="4">
        <v>70.3</v>
      </c>
      <c r="V33" s="8">
        <v>71.5</v>
      </c>
      <c r="W33" s="9">
        <v>71.400000000000006</v>
      </c>
      <c r="X33" s="7">
        <v>72</v>
      </c>
      <c r="Y33" s="7">
        <v>71.5</v>
      </c>
      <c r="Z33" s="7">
        <v>70.400000000000006</v>
      </c>
      <c r="AA33" s="4">
        <v>69.050000000000011</v>
      </c>
      <c r="AB33" s="4">
        <v>68.625</v>
      </c>
      <c r="AC33" s="4">
        <v>69.150000000000006</v>
      </c>
      <c r="AD33" s="4">
        <v>66.775000000000006</v>
      </c>
      <c r="AE33" s="4">
        <v>67.349999999999994</v>
      </c>
      <c r="AF33" s="4">
        <v>66.324999999999989</v>
      </c>
    </row>
    <row r="34" spans="1:32" x14ac:dyDescent="0.25">
      <c r="A34" s="5" t="s">
        <v>33</v>
      </c>
      <c r="B34" s="4">
        <v>51.1</v>
      </c>
      <c r="C34" s="4">
        <v>50.3</v>
      </c>
      <c r="D34" s="4">
        <v>51.3</v>
      </c>
      <c r="E34" s="4">
        <v>52</v>
      </c>
      <c r="F34" s="4">
        <v>50.7</v>
      </c>
      <c r="G34" s="6">
        <v>52.3</v>
      </c>
      <c r="H34" s="4">
        <v>53.3</v>
      </c>
      <c r="I34" s="4">
        <v>52.6</v>
      </c>
      <c r="J34" s="4">
        <v>53.3</v>
      </c>
      <c r="K34" s="4">
        <v>52.8</v>
      </c>
      <c r="L34" s="4">
        <v>52.5</v>
      </c>
      <c r="M34" s="4">
        <v>52.7</v>
      </c>
      <c r="N34" s="6">
        <v>52.7</v>
      </c>
      <c r="O34" s="3">
        <v>52.6</v>
      </c>
      <c r="P34" s="3">
        <v>52.8</v>
      </c>
      <c r="Q34" s="3">
        <v>52.8</v>
      </c>
      <c r="R34" s="3">
        <v>53.4</v>
      </c>
      <c r="S34" s="4">
        <v>53.9</v>
      </c>
      <c r="T34" s="4">
        <v>54.8</v>
      </c>
      <c r="U34" s="4">
        <v>54.3</v>
      </c>
      <c r="V34" s="8">
        <v>54.8</v>
      </c>
      <c r="W34" s="9">
        <v>55.9</v>
      </c>
      <c r="X34" s="7">
        <v>55.7</v>
      </c>
      <c r="Y34" s="7">
        <v>55.9</v>
      </c>
      <c r="Z34" s="7">
        <v>55</v>
      </c>
      <c r="AA34" s="4">
        <v>54.375000000000007</v>
      </c>
      <c r="AB34" s="4">
        <v>54.45</v>
      </c>
      <c r="AC34" s="4">
        <v>53.599999999999994</v>
      </c>
      <c r="AD34" s="4">
        <v>53.574999999999996</v>
      </c>
      <c r="AE34" s="4">
        <v>53.024999999999999</v>
      </c>
      <c r="AF34" s="4">
        <v>52.924999999999997</v>
      </c>
    </row>
    <row r="35" spans="1:32" x14ac:dyDescent="0.25">
      <c r="A35" s="5" t="s">
        <v>34</v>
      </c>
      <c r="B35" s="4">
        <v>68.8</v>
      </c>
      <c r="C35" s="4">
        <v>68</v>
      </c>
      <c r="D35" s="4">
        <v>68.2</v>
      </c>
      <c r="E35" s="4">
        <v>68.400000000000006</v>
      </c>
      <c r="F35" s="4">
        <v>68.3</v>
      </c>
      <c r="G35" s="6">
        <v>69.400000000000006</v>
      </c>
      <c r="H35" s="4">
        <v>69</v>
      </c>
      <c r="I35" s="4">
        <v>69.3</v>
      </c>
      <c r="J35" s="4">
        <v>68.599999999999994</v>
      </c>
      <c r="K35" s="4">
        <v>68.8</v>
      </c>
      <c r="L35" s="4">
        <v>68.7</v>
      </c>
      <c r="M35" s="4">
        <v>70.099999999999994</v>
      </c>
      <c r="N35" s="6">
        <v>70.400000000000006</v>
      </c>
      <c r="O35" s="3">
        <v>70.2</v>
      </c>
      <c r="P35" s="3">
        <v>71.3</v>
      </c>
      <c r="Q35" s="3">
        <v>71.7</v>
      </c>
      <c r="R35" s="3">
        <v>71.099999999999994</v>
      </c>
      <c r="S35" s="4">
        <v>71.3</v>
      </c>
      <c r="T35" s="4">
        <v>70</v>
      </c>
      <c r="U35" s="4">
        <v>70</v>
      </c>
      <c r="V35" s="8">
        <v>69.8</v>
      </c>
      <c r="W35" s="9">
        <v>70.900000000000006</v>
      </c>
      <c r="X35" s="7">
        <v>70.2</v>
      </c>
      <c r="Y35" s="7">
        <v>70.3</v>
      </c>
      <c r="Z35" s="7">
        <v>69.400000000000006</v>
      </c>
      <c r="AA35" s="4">
        <v>70.099999999999994</v>
      </c>
      <c r="AB35" s="4">
        <v>69.474999999999994</v>
      </c>
      <c r="AC35" s="4">
        <v>68.324999999999989</v>
      </c>
      <c r="AD35" s="4">
        <v>67.174999999999997</v>
      </c>
      <c r="AE35" s="4">
        <v>67.375</v>
      </c>
      <c r="AF35" s="4">
        <v>66.425000000000011</v>
      </c>
    </row>
    <row r="36" spans="1:32" x14ac:dyDescent="0.25">
      <c r="A36" s="5" t="s">
        <v>35</v>
      </c>
      <c r="B36" s="4">
        <v>70.099999999999994</v>
      </c>
      <c r="C36" s="4">
        <v>69.900000000000006</v>
      </c>
      <c r="D36" s="4">
        <v>69.2</v>
      </c>
      <c r="E36" s="4">
        <v>68.900000000000006</v>
      </c>
      <c r="F36" s="4">
        <v>67.7</v>
      </c>
      <c r="G36" s="6">
        <v>67.099999999999994</v>
      </c>
      <c r="H36" s="4">
        <v>67.2</v>
      </c>
      <c r="I36" s="4">
        <v>65.400000000000006</v>
      </c>
      <c r="J36" s="4">
        <v>63.7</v>
      </c>
      <c r="K36" s="4">
        <v>62.7</v>
      </c>
      <c r="L36" s="4">
        <v>63.3</v>
      </c>
      <c r="M36" s="4">
        <v>67.3</v>
      </c>
      <c r="N36" s="6">
        <v>68.2</v>
      </c>
      <c r="O36" s="3">
        <v>68.099999999999994</v>
      </c>
      <c r="P36" s="3">
        <v>68</v>
      </c>
      <c r="Q36" s="3">
        <v>70.099999999999994</v>
      </c>
      <c r="R36" s="3">
        <v>70.7</v>
      </c>
      <c r="S36" s="4">
        <v>71</v>
      </c>
      <c r="T36" s="4">
        <v>69.400000000000006</v>
      </c>
      <c r="U36" s="4">
        <v>68.7</v>
      </c>
      <c r="V36" s="8">
        <v>70</v>
      </c>
      <c r="W36" s="9">
        <v>68.5</v>
      </c>
      <c r="X36" s="7">
        <v>68.3</v>
      </c>
      <c r="Y36" s="7">
        <v>66</v>
      </c>
      <c r="Z36" s="7">
        <v>66.599999999999994</v>
      </c>
      <c r="AA36" s="4">
        <v>65.7</v>
      </c>
      <c r="AB36" s="4">
        <v>67.125</v>
      </c>
      <c r="AC36" s="4">
        <v>68.325000000000003</v>
      </c>
      <c r="AD36" s="4">
        <v>66.199999999999989</v>
      </c>
      <c r="AE36" s="4">
        <v>68</v>
      </c>
      <c r="AF36" s="4">
        <v>64.600000000000009</v>
      </c>
    </row>
    <row r="37" spans="1:32" x14ac:dyDescent="0.25">
      <c r="A37" s="5" t="s">
        <v>36</v>
      </c>
      <c r="B37" s="4">
        <v>67.7</v>
      </c>
      <c r="C37" s="4">
        <v>67.900000000000006</v>
      </c>
      <c r="D37" s="4">
        <v>68.2</v>
      </c>
      <c r="E37" s="4">
        <v>68.599999999999994</v>
      </c>
      <c r="F37" s="4">
        <v>69.599999999999994</v>
      </c>
      <c r="G37" s="6">
        <v>69.599999999999994</v>
      </c>
      <c r="H37" s="4">
        <v>68.7</v>
      </c>
      <c r="I37" s="4">
        <v>68.7</v>
      </c>
      <c r="J37" s="4">
        <v>69.099999999999994</v>
      </c>
      <c r="K37" s="4">
        <v>68.5</v>
      </c>
      <c r="L37" s="4">
        <v>67.400000000000006</v>
      </c>
      <c r="M37" s="4">
        <v>67.900000000000006</v>
      </c>
      <c r="N37" s="6">
        <v>69.2</v>
      </c>
      <c r="O37" s="3">
        <v>69</v>
      </c>
      <c r="P37" s="3">
        <v>70.7</v>
      </c>
      <c r="Q37" s="3">
        <v>70.7</v>
      </c>
      <c r="R37" s="3">
        <v>71.3</v>
      </c>
      <c r="S37" s="4">
        <v>71.2</v>
      </c>
      <c r="T37" s="4">
        <v>72.099999999999994</v>
      </c>
      <c r="U37" s="4">
        <v>72.8</v>
      </c>
      <c r="V37" s="8">
        <v>73.099999999999994</v>
      </c>
      <c r="W37" s="9">
        <v>73.3</v>
      </c>
      <c r="X37" s="7">
        <v>72.099999999999994</v>
      </c>
      <c r="Y37" s="7">
        <v>71.400000000000006</v>
      </c>
      <c r="Z37" s="7">
        <v>70.8</v>
      </c>
      <c r="AA37" s="4">
        <v>69.75</v>
      </c>
      <c r="AB37" s="4">
        <v>69.75</v>
      </c>
      <c r="AC37" s="4">
        <v>68.899999999999991</v>
      </c>
      <c r="AD37" s="4">
        <v>67.825000000000003</v>
      </c>
      <c r="AE37" s="4">
        <v>67.875</v>
      </c>
      <c r="AF37" s="4">
        <v>67.375</v>
      </c>
    </row>
    <row r="38" spans="1:32" x14ac:dyDescent="0.25">
      <c r="A38" s="5" t="s">
        <v>37</v>
      </c>
      <c r="B38" s="4">
        <v>71</v>
      </c>
      <c r="C38" s="4">
        <v>70.5</v>
      </c>
      <c r="D38" s="4">
        <v>69.7</v>
      </c>
      <c r="E38" s="4">
        <v>70.900000000000006</v>
      </c>
      <c r="F38" s="4">
        <v>72.099999999999994</v>
      </c>
      <c r="G38" s="6">
        <v>71.400000000000006</v>
      </c>
      <c r="H38" s="4">
        <v>70.3</v>
      </c>
      <c r="I38" s="4">
        <v>69.2</v>
      </c>
      <c r="J38" s="4">
        <v>68.900000000000006</v>
      </c>
      <c r="K38" s="4">
        <v>70.3</v>
      </c>
      <c r="L38" s="4">
        <v>68.5</v>
      </c>
      <c r="M38" s="4">
        <v>69.8</v>
      </c>
      <c r="N38" s="6">
        <v>68.400000000000006</v>
      </c>
      <c r="O38" s="3">
        <v>68.5</v>
      </c>
      <c r="P38" s="3">
        <v>69.7</v>
      </c>
      <c r="Q38" s="3">
        <v>71.5</v>
      </c>
      <c r="R38" s="3">
        <v>72.7</v>
      </c>
      <c r="S38" s="4">
        <v>71.5</v>
      </c>
      <c r="T38" s="4">
        <v>69.599999999999994</v>
      </c>
      <c r="U38" s="4">
        <v>69.099999999999994</v>
      </c>
      <c r="V38" s="8">
        <v>71.099999999999994</v>
      </c>
      <c r="W38" s="9">
        <v>72.900000000000006</v>
      </c>
      <c r="X38" s="7">
        <v>71.599999999999994</v>
      </c>
      <c r="Y38" s="7">
        <v>70.3</v>
      </c>
      <c r="Z38" s="7">
        <v>70.400000000000006</v>
      </c>
      <c r="AA38" s="4">
        <v>69.599999999999994</v>
      </c>
      <c r="AB38" s="4">
        <v>69.150000000000006</v>
      </c>
      <c r="AC38" s="4">
        <v>69.424999999999997</v>
      </c>
      <c r="AD38" s="4">
        <v>68.775000000000006</v>
      </c>
      <c r="AE38" s="4">
        <v>69.900000000000006</v>
      </c>
      <c r="AF38" s="4">
        <v>69.3</v>
      </c>
    </row>
    <row r="39" spans="1:32" x14ac:dyDescent="0.25">
      <c r="A39" s="5" t="s">
        <v>38</v>
      </c>
      <c r="B39" s="4">
        <v>61.9</v>
      </c>
      <c r="C39" s="4">
        <v>61.5</v>
      </c>
      <c r="D39" s="4">
        <v>63.9</v>
      </c>
      <c r="E39" s="4">
        <v>64.599999999999994</v>
      </c>
      <c r="F39" s="4">
        <v>64</v>
      </c>
      <c r="G39" s="6">
        <v>63.4</v>
      </c>
      <c r="H39" s="4">
        <v>64.400000000000006</v>
      </c>
      <c r="I39" s="4">
        <v>65.2</v>
      </c>
      <c r="J39" s="4">
        <v>64.3</v>
      </c>
      <c r="K39" s="4">
        <v>63.8</v>
      </c>
      <c r="L39" s="4">
        <v>63.9</v>
      </c>
      <c r="M39" s="4">
        <v>63.2</v>
      </c>
      <c r="N39" s="6">
        <v>63.1</v>
      </c>
      <c r="O39" s="3">
        <v>61</v>
      </c>
      <c r="P39" s="3">
        <v>63.4</v>
      </c>
      <c r="Q39" s="3">
        <v>64.3</v>
      </c>
      <c r="R39" s="3">
        <v>65.3</v>
      </c>
      <c r="S39" s="4">
        <v>65.8</v>
      </c>
      <c r="T39" s="4">
        <v>66.2</v>
      </c>
      <c r="U39" s="4">
        <v>68</v>
      </c>
      <c r="V39" s="8">
        <v>69</v>
      </c>
      <c r="W39" s="9">
        <v>68.2</v>
      </c>
      <c r="X39" s="7">
        <v>68.099999999999994</v>
      </c>
      <c r="Y39" s="7">
        <v>65.7</v>
      </c>
      <c r="Z39" s="7">
        <v>66.2</v>
      </c>
      <c r="AA39" s="4">
        <v>68.175000000000011</v>
      </c>
      <c r="AB39" s="4">
        <v>66.25</v>
      </c>
      <c r="AC39" s="4">
        <v>66.424999999999997</v>
      </c>
      <c r="AD39" s="4">
        <v>66.099999999999994</v>
      </c>
      <c r="AE39" s="4">
        <v>64.224999999999994</v>
      </c>
      <c r="AF39" s="4">
        <v>62.849999999999994</v>
      </c>
    </row>
    <row r="40" spans="1:32" x14ac:dyDescent="0.25">
      <c r="A40" s="5" t="s">
        <v>39</v>
      </c>
      <c r="B40" s="4">
        <v>71.099999999999994</v>
      </c>
      <c r="C40" s="4">
        <v>71.599999999999994</v>
      </c>
      <c r="D40" s="4">
        <v>72.3</v>
      </c>
      <c r="E40" s="4">
        <v>71.8</v>
      </c>
      <c r="F40" s="4">
        <v>72.099999999999994</v>
      </c>
      <c r="G40" s="6">
        <v>72.8</v>
      </c>
      <c r="H40" s="4">
        <v>73.8</v>
      </c>
      <c r="I40" s="4">
        <v>74</v>
      </c>
      <c r="J40" s="4">
        <v>73.099999999999994</v>
      </c>
      <c r="K40" s="4">
        <v>72</v>
      </c>
      <c r="L40" s="4">
        <v>71.8</v>
      </c>
      <c r="M40" s="4">
        <v>71.5</v>
      </c>
      <c r="N40" s="6">
        <v>71.7</v>
      </c>
      <c r="O40" s="3">
        <v>73.3</v>
      </c>
      <c r="P40" s="3">
        <v>73.900000000000006</v>
      </c>
      <c r="Q40" s="3">
        <v>75.2</v>
      </c>
      <c r="R40" s="3">
        <v>74.7</v>
      </c>
      <c r="S40" s="4">
        <v>74.3</v>
      </c>
      <c r="T40" s="4">
        <v>74</v>
      </c>
      <c r="U40" s="4">
        <v>73.7</v>
      </c>
      <c r="V40" s="8">
        <v>74.900000000000006</v>
      </c>
      <c r="W40" s="9">
        <v>73.3</v>
      </c>
      <c r="X40" s="7">
        <v>73.2</v>
      </c>
      <c r="Y40" s="7">
        <v>72.900000000000006</v>
      </c>
      <c r="Z40" s="7">
        <v>72.599999999999994</v>
      </c>
      <c r="AA40" s="4">
        <v>72.199999999999989</v>
      </c>
      <c r="AB40" s="4">
        <v>72.150000000000006</v>
      </c>
      <c r="AC40" s="4">
        <v>71.150000000000006</v>
      </c>
      <c r="AD40" s="4">
        <v>71</v>
      </c>
      <c r="AE40" s="4">
        <v>71.5</v>
      </c>
      <c r="AF40" s="4">
        <v>69.675000000000011</v>
      </c>
    </row>
    <row r="41" spans="1:32" x14ac:dyDescent="0.25">
      <c r="A41" s="5" t="s">
        <v>40</v>
      </c>
      <c r="B41" s="4">
        <v>60.9</v>
      </c>
      <c r="C41" s="4">
        <v>61.4</v>
      </c>
      <c r="D41" s="4">
        <v>62.2</v>
      </c>
      <c r="E41" s="4">
        <v>60.4</v>
      </c>
      <c r="F41" s="4">
        <v>62</v>
      </c>
      <c r="G41" s="6">
        <v>61.2</v>
      </c>
      <c r="H41" s="4">
        <v>58.5</v>
      </c>
      <c r="I41" s="4">
        <v>58.2</v>
      </c>
      <c r="J41" s="4">
        <v>56.8</v>
      </c>
      <c r="K41" s="4">
        <v>57.6</v>
      </c>
      <c r="L41" s="4">
        <v>56.5</v>
      </c>
      <c r="M41" s="4">
        <v>57.9</v>
      </c>
      <c r="N41" s="6">
        <v>56.6</v>
      </c>
      <c r="O41" s="3">
        <v>58.7</v>
      </c>
      <c r="P41" s="3">
        <v>59.8</v>
      </c>
      <c r="Q41" s="3">
        <v>60.6</v>
      </c>
      <c r="R41" s="3">
        <v>61.5</v>
      </c>
      <c r="S41" s="4">
        <v>60.1</v>
      </c>
      <c r="T41" s="4">
        <v>59.4</v>
      </c>
      <c r="U41" s="4">
        <v>59.9</v>
      </c>
      <c r="V41" s="8">
        <v>61.5</v>
      </c>
      <c r="W41" s="9">
        <v>63.1</v>
      </c>
      <c r="X41" s="7">
        <v>64.599999999999994</v>
      </c>
      <c r="Y41" s="7">
        <v>64.900000000000006</v>
      </c>
      <c r="Z41" s="7">
        <v>64.5</v>
      </c>
      <c r="AA41" s="4">
        <v>62.849999999999994</v>
      </c>
      <c r="AB41" s="4">
        <v>62.8</v>
      </c>
      <c r="AC41" s="4">
        <v>63.400000000000006</v>
      </c>
      <c r="AD41" s="4">
        <v>62.075000000000003</v>
      </c>
      <c r="AE41" s="4">
        <v>61.525000000000006</v>
      </c>
      <c r="AF41" s="4">
        <v>61.875</v>
      </c>
    </row>
    <row r="42" spans="1:32" x14ac:dyDescent="0.25">
      <c r="A42" s="5" t="s">
        <v>41</v>
      </c>
      <c r="B42" s="4">
        <v>69.099999999999994</v>
      </c>
      <c r="C42" s="4">
        <v>72</v>
      </c>
      <c r="D42" s="4">
        <v>70.3</v>
      </c>
      <c r="E42" s="4">
        <v>72.8</v>
      </c>
      <c r="F42" s="4">
        <v>73.8</v>
      </c>
      <c r="G42" s="6">
        <v>71</v>
      </c>
      <c r="H42" s="4">
        <v>71.400000000000006</v>
      </c>
      <c r="I42" s="4">
        <v>73.099999999999994</v>
      </c>
      <c r="J42" s="4">
        <v>71</v>
      </c>
      <c r="K42" s="4">
        <v>71.099999999999994</v>
      </c>
      <c r="L42" s="4">
        <v>72</v>
      </c>
      <c r="M42" s="4">
        <v>71.3</v>
      </c>
      <c r="N42" s="6">
        <v>72.900000000000006</v>
      </c>
      <c r="O42" s="3">
        <v>74.099999999999994</v>
      </c>
      <c r="P42" s="3">
        <v>76.599999999999994</v>
      </c>
      <c r="Q42" s="3">
        <v>77.099999999999994</v>
      </c>
      <c r="R42" s="3">
        <v>76.5</v>
      </c>
      <c r="S42" s="4">
        <v>76.099999999999994</v>
      </c>
      <c r="T42" s="4">
        <v>77.5</v>
      </c>
      <c r="U42" s="4">
        <v>75</v>
      </c>
      <c r="V42" s="8">
        <v>76.2</v>
      </c>
      <c r="W42" s="9">
        <v>73.900000000000006</v>
      </c>
      <c r="X42" s="7">
        <v>74.2</v>
      </c>
      <c r="Y42" s="7">
        <v>74.099999999999994</v>
      </c>
      <c r="Z42" s="7">
        <v>73.900000000000006</v>
      </c>
      <c r="AA42" s="4">
        <v>74.375</v>
      </c>
      <c r="AB42" s="4">
        <v>74.8</v>
      </c>
      <c r="AC42" s="4">
        <v>74.25</v>
      </c>
      <c r="AD42" s="4">
        <v>71.525000000000006</v>
      </c>
      <c r="AE42" s="4">
        <v>72.424999999999997</v>
      </c>
      <c r="AF42" s="4">
        <v>72.975000000000009</v>
      </c>
    </row>
    <row r="43" spans="1:32" x14ac:dyDescent="0.25">
      <c r="A43" s="5" t="s">
        <v>42</v>
      </c>
      <c r="B43" s="4">
        <v>69.599999999999994</v>
      </c>
      <c r="C43" s="4">
        <v>67.599999999999994</v>
      </c>
      <c r="D43" s="4">
        <v>65.900000000000006</v>
      </c>
      <c r="E43" s="4">
        <v>66.8</v>
      </c>
      <c r="F43" s="4">
        <v>66.400000000000006</v>
      </c>
      <c r="G43" s="6">
        <v>65.8</v>
      </c>
      <c r="H43" s="4">
        <v>66.2</v>
      </c>
      <c r="I43" s="4">
        <v>66.099999999999994</v>
      </c>
      <c r="J43" s="4">
        <v>66.5</v>
      </c>
      <c r="K43" s="4">
        <v>65.599999999999994</v>
      </c>
      <c r="L43" s="4">
        <v>66.400000000000006</v>
      </c>
      <c r="M43" s="4">
        <v>67.5</v>
      </c>
      <c r="N43" s="6">
        <v>67.8</v>
      </c>
      <c r="O43" s="3">
        <v>67.599999999999994</v>
      </c>
      <c r="P43" s="3">
        <v>67.3</v>
      </c>
      <c r="Q43" s="3">
        <v>70.7</v>
      </c>
      <c r="R43" s="3">
        <v>71.2</v>
      </c>
      <c r="S43" s="4">
        <v>71.5</v>
      </c>
      <c r="T43" s="4">
        <v>71.5</v>
      </c>
      <c r="U43" s="4">
        <v>70.900000000000006</v>
      </c>
      <c r="V43" s="8">
        <v>68.5</v>
      </c>
      <c r="W43" s="9">
        <v>68.400000000000006</v>
      </c>
      <c r="X43" s="7">
        <v>70.599999999999994</v>
      </c>
      <c r="Y43" s="7">
        <v>70.400000000000006</v>
      </c>
      <c r="Z43" s="7">
        <v>70.400000000000006</v>
      </c>
      <c r="AA43" s="4">
        <v>69.575000000000003</v>
      </c>
      <c r="AB43" s="4">
        <v>70.650000000000006</v>
      </c>
      <c r="AC43" s="4">
        <v>69.324999999999989</v>
      </c>
      <c r="AD43" s="4">
        <v>69.150000000000006</v>
      </c>
      <c r="AE43" s="4">
        <v>67.800000000000011</v>
      </c>
      <c r="AF43" s="4">
        <v>69.225000000000009</v>
      </c>
    </row>
    <row r="44" spans="1:32" x14ac:dyDescent="0.25">
      <c r="A44" s="5" t="s">
        <v>43</v>
      </c>
      <c r="B44" s="4">
        <v>67.599999999999994</v>
      </c>
      <c r="C44" s="4">
        <v>67.599999999999994</v>
      </c>
      <c r="D44" s="4">
        <v>67.400000000000006</v>
      </c>
      <c r="E44" s="4">
        <v>67.2</v>
      </c>
      <c r="F44" s="4">
        <v>66.900000000000006</v>
      </c>
      <c r="G44" s="6">
        <v>67.3</v>
      </c>
      <c r="H44" s="4">
        <v>68.3</v>
      </c>
      <c r="I44" s="4">
        <v>68</v>
      </c>
      <c r="J44" s="4">
        <v>67.400000000000006</v>
      </c>
      <c r="K44" s="4">
        <v>64.099999999999994</v>
      </c>
      <c r="L44" s="4">
        <v>65.2</v>
      </c>
      <c r="M44" s="4">
        <v>67</v>
      </c>
      <c r="N44" s="6">
        <v>68.8</v>
      </c>
      <c r="O44" s="3">
        <v>70.2</v>
      </c>
      <c r="P44" s="3">
        <v>71.3</v>
      </c>
      <c r="Q44" s="3">
        <v>71.900000000000006</v>
      </c>
      <c r="R44" s="3">
        <v>70.900000000000006</v>
      </c>
      <c r="S44" s="4">
        <v>69.7</v>
      </c>
      <c r="T44" s="4">
        <v>70.3</v>
      </c>
      <c r="U44" s="4">
        <v>70.8</v>
      </c>
      <c r="V44" s="8">
        <v>71.599999999999994</v>
      </c>
      <c r="W44" s="9">
        <v>72.400000000000006</v>
      </c>
      <c r="X44" s="7">
        <v>71.3</v>
      </c>
      <c r="Y44" s="7">
        <v>70.2</v>
      </c>
      <c r="Z44" s="7">
        <v>71.7</v>
      </c>
      <c r="AA44" s="4">
        <v>71.099999999999994</v>
      </c>
      <c r="AB44" s="4">
        <v>71.025000000000006</v>
      </c>
      <c r="AC44" s="4">
        <v>69.25</v>
      </c>
      <c r="AD44" s="4">
        <v>67.949999999999989</v>
      </c>
      <c r="AE44" s="4">
        <v>66.8</v>
      </c>
      <c r="AF44" s="4">
        <v>66.75</v>
      </c>
    </row>
    <row r="45" spans="1:32" x14ac:dyDescent="0.25">
      <c r="A45" s="5" t="s">
        <v>44</v>
      </c>
      <c r="B45" s="4">
        <v>62.5</v>
      </c>
      <c r="C45" s="4">
        <v>60.5</v>
      </c>
      <c r="D45" s="4">
        <v>61</v>
      </c>
      <c r="E45" s="4">
        <v>61.1</v>
      </c>
      <c r="F45" s="4">
        <v>59.9</v>
      </c>
      <c r="G45" s="6">
        <v>61</v>
      </c>
      <c r="H45" s="4">
        <v>59.7</v>
      </c>
      <c r="I45" s="4">
        <v>59</v>
      </c>
      <c r="J45" s="4">
        <v>58.3</v>
      </c>
      <c r="K45" s="4">
        <v>58.7</v>
      </c>
      <c r="L45" s="4">
        <v>59.7</v>
      </c>
      <c r="M45" s="4">
        <v>61.4</v>
      </c>
      <c r="N45" s="6">
        <v>61.8</v>
      </c>
      <c r="O45" s="3">
        <v>61.5</v>
      </c>
      <c r="P45" s="3">
        <v>62.5</v>
      </c>
      <c r="Q45" s="3">
        <v>62.9</v>
      </c>
      <c r="R45" s="3">
        <v>63.8</v>
      </c>
      <c r="S45" s="4">
        <v>63.9</v>
      </c>
      <c r="T45" s="4">
        <v>63.4</v>
      </c>
      <c r="U45" s="4">
        <v>64.5</v>
      </c>
      <c r="V45" s="8">
        <v>65.5</v>
      </c>
      <c r="W45" s="9">
        <v>65.900000000000006</v>
      </c>
      <c r="X45" s="7">
        <v>66</v>
      </c>
      <c r="Y45" s="7">
        <v>66</v>
      </c>
      <c r="Z45" s="7">
        <v>65.5</v>
      </c>
      <c r="AA45" s="4">
        <v>65.349999999999994</v>
      </c>
      <c r="AB45" s="4">
        <v>65.349999999999994</v>
      </c>
      <c r="AC45" s="4">
        <v>64.325000000000003</v>
      </c>
      <c r="AD45" s="4">
        <v>64.3</v>
      </c>
      <c r="AE45" s="4">
        <v>63.25</v>
      </c>
      <c r="AF45" s="4">
        <v>62.225000000000001</v>
      </c>
    </row>
    <row r="46" spans="1:32" x14ac:dyDescent="0.25">
      <c r="A46" s="5" t="s">
        <v>45</v>
      </c>
      <c r="B46" s="4">
        <v>69.900000000000006</v>
      </c>
      <c r="C46" s="4">
        <v>71.5</v>
      </c>
      <c r="D46" s="4">
        <v>68</v>
      </c>
      <c r="E46" s="4">
        <v>69</v>
      </c>
      <c r="F46" s="4">
        <v>70.2</v>
      </c>
      <c r="G46" s="6">
        <v>70.400000000000006</v>
      </c>
      <c r="H46" s="4">
        <v>70.099999999999994</v>
      </c>
      <c r="I46" s="4">
        <v>70.7</v>
      </c>
      <c r="J46" s="4">
        <v>70</v>
      </c>
      <c r="K46" s="4">
        <v>68.900000000000006</v>
      </c>
      <c r="L46" s="4">
        <v>69.3</v>
      </c>
      <c r="M46" s="4">
        <v>71.5</v>
      </c>
      <c r="N46" s="6">
        <v>72.7</v>
      </c>
      <c r="O46" s="3">
        <v>72.5</v>
      </c>
      <c r="P46" s="3">
        <v>73.7</v>
      </c>
      <c r="Q46" s="3">
        <v>74.7</v>
      </c>
      <c r="R46" s="3">
        <v>72.7</v>
      </c>
      <c r="S46" s="4">
        <v>72.400000000000006</v>
      </c>
      <c r="T46" s="4">
        <v>72.8</v>
      </c>
      <c r="U46" s="4">
        <v>73.400000000000006</v>
      </c>
      <c r="V46" s="8">
        <v>74.900000000000006</v>
      </c>
      <c r="W46" s="9">
        <v>73.900000000000006</v>
      </c>
      <c r="X46" s="7">
        <v>73.5</v>
      </c>
      <c r="Y46" s="7">
        <v>74.900000000000006</v>
      </c>
      <c r="Z46" s="7">
        <v>76.2</v>
      </c>
      <c r="AA46" s="4">
        <v>74.099999999999994</v>
      </c>
      <c r="AB46" s="4">
        <v>72.474999999999994</v>
      </c>
      <c r="AC46" s="4">
        <v>71.400000000000006</v>
      </c>
      <c r="AD46" s="4">
        <v>71.125</v>
      </c>
      <c r="AE46" s="4">
        <v>70.875</v>
      </c>
      <c r="AF46" s="4">
        <v>70.875</v>
      </c>
    </row>
    <row r="47" spans="1:32" x14ac:dyDescent="0.25">
      <c r="A47" s="5" t="s">
        <v>46</v>
      </c>
      <c r="B47" s="4">
        <v>66.900000000000006</v>
      </c>
      <c r="C47" s="4">
        <v>69.5</v>
      </c>
      <c r="D47" s="4">
        <v>69.8</v>
      </c>
      <c r="E47" s="4">
        <v>70.5</v>
      </c>
      <c r="F47" s="4">
        <v>68.7</v>
      </c>
      <c r="G47" s="6">
        <v>69.7</v>
      </c>
      <c r="H47" s="4">
        <v>72.599999999999994</v>
      </c>
      <c r="I47" s="4">
        <v>70.8</v>
      </c>
      <c r="J47" s="4">
        <v>70.8</v>
      </c>
      <c r="K47" s="4">
        <v>68.5</v>
      </c>
      <c r="L47" s="4">
        <v>69.400000000000006</v>
      </c>
      <c r="M47" s="4">
        <v>70.400000000000006</v>
      </c>
      <c r="N47" s="6">
        <v>70.3</v>
      </c>
      <c r="O47" s="3">
        <v>69.099999999999994</v>
      </c>
      <c r="P47" s="3">
        <v>69.099999999999994</v>
      </c>
      <c r="Q47" s="3">
        <v>69.099999999999994</v>
      </c>
      <c r="R47" s="3">
        <v>68.7</v>
      </c>
      <c r="S47" s="4">
        <v>69.8</v>
      </c>
      <c r="T47" s="4">
        <v>70.3</v>
      </c>
      <c r="U47" s="4">
        <v>71.400000000000006</v>
      </c>
      <c r="V47" s="8">
        <v>72</v>
      </c>
      <c r="W47" s="9">
        <v>74.2</v>
      </c>
      <c r="X47" s="7">
        <v>74</v>
      </c>
      <c r="Y47" s="7">
        <v>73.7</v>
      </c>
      <c r="Z47" s="7">
        <v>72.8</v>
      </c>
      <c r="AA47" s="4">
        <v>74.324999999999989</v>
      </c>
      <c r="AB47" s="4">
        <v>73.625</v>
      </c>
      <c r="AC47" s="4">
        <v>74.599999999999994</v>
      </c>
      <c r="AD47" s="4">
        <v>73.349999999999994</v>
      </c>
      <c r="AE47" s="4">
        <v>72.974999999999994</v>
      </c>
      <c r="AF47" s="4">
        <v>73.5</v>
      </c>
    </row>
    <row r="48" spans="1:32" x14ac:dyDescent="0.25">
      <c r="A48" s="5" t="s">
        <v>47</v>
      </c>
      <c r="B48" s="4">
        <v>68.3</v>
      </c>
      <c r="C48" s="4">
        <v>68.5</v>
      </c>
      <c r="D48" s="4">
        <v>68.2</v>
      </c>
      <c r="E48" s="4">
        <v>69</v>
      </c>
      <c r="F48" s="4">
        <v>69.8</v>
      </c>
      <c r="G48" s="6">
        <v>70.2</v>
      </c>
      <c r="H48" s="4">
        <v>69.8</v>
      </c>
      <c r="I48" s="4">
        <v>68.900000000000006</v>
      </c>
      <c r="J48" s="4">
        <v>67.8</v>
      </c>
      <c r="K48" s="4">
        <v>68.5</v>
      </c>
      <c r="L48" s="4">
        <v>69.3</v>
      </c>
      <c r="M48" s="4">
        <v>68.099999999999994</v>
      </c>
      <c r="N48" s="6">
        <v>68.5</v>
      </c>
      <c r="O48" s="3">
        <v>68.400000000000006</v>
      </c>
      <c r="P48" s="3">
        <v>69.400000000000006</v>
      </c>
      <c r="Q48" s="3">
        <v>71.2</v>
      </c>
      <c r="R48" s="3">
        <v>73.900000000000006</v>
      </c>
      <c r="S48" s="4">
        <v>75.099999999999994</v>
      </c>
      <c r="T48" s="4">
        <v>74.400000000000006</v>
      </c>
      <c r="U48" s="4">
        <v>75</v>
      </c>
      <c r="V48" s="8">
        <v>73.400000000000006</v>
      </c>
      <c r="W48" s="9">
        <v>71.2</v>
      </c>
      <c r="X48" s="7">
        <v>71.099999999999994</v>
      </c>
      <c r="Y48" s="7">
        <v>71.5</v>
      </c>
      <c r="Z48" s="7">
        <v>70.599999999999994</v>
      </c>
      <c r="AA48" s="4">
        <v>69.674999999999997</v>
      </c>
      <c r="AB48" s="4">
        <v>68.724999999999994</v>
      </c>
      <c r="AC48" s="4">
        <v>67.849999999999994</v>
      </c>
      <c r="AD48" s="4">
        <v>67.824999999999989</v>
      </c>
      <c r="AE48" s="4">
        <v>68.125</v>
      </c>
      <c r="AF48" s="4">
        <v>68.724999999999994</v>
      </c>
    </row>
    <row r="49" spans="1:32" x14ac:dyDescent="0.25">
      <c r="A49" s="5" t="s">
        <v>48</v>
      </c>
      <c r="B49" s="4">
        <v>65.7</v>
      </c>
      <c r="C49" s="4">
        <v>66.8</v>
      </c>
      <c r="D49" s="4">
        <v>65.099999999999994</v>
      </c>
      <c r="E49" s="4">
        <v>64.400000000000006</v>
      </c>
      <c r="F49" s="4">
        <v>64.2</v>
      </c>
      <c r="G49" s="6">
        <v>64.2</v>
      </c>
      <c r="H49" s="4">
        <v>61.8</v>
      </c>
      <c r="I49" s="4">
        <v>61.8</v>
      </c>
      <c r="J49" s="4">
        <v>62.5</v>
      </c>
      <c r="K49" s="4">
        <v>63.1</v>
      </c>
      <c r="L49" s="4">
        <v>62.4</v>
      </c>
      <c r="M49" s="4">
        <v>61.6</v>
      </c>
      <c r="N49" s="6">
        <v>63.1</v>
      </c>
      <c r="O49" s="3">
        <v>62.9</v>
      </c>
      <c r="P49" s="3">
        <v>64.900000000000006</v>
      </c>
      <c r="Q49" s="3">
        <v>64.8</v>
      </c>
      <c r="R49" s="3">
        <v>63.6</v>
      </c>
      <c r="S49" s="4">
        <v>66.400000000000006</v>
      </c>
      <c r="T49" s="4">
        <v>66.900000000000006</v>
      </c>
      <c r="U49" s="4">
        <v>65.900000000000006</v>
      </c>
      <c r="V49" s="8">
        <v>66</v>
      </c>
      <c r="W49" s="9">
        <v>67.599999999999994</v>
      </c>
      <c r="X49" s="7">
        <v>66.7</v>
      </c>
      <c r="Y49" s="7">
        <v>66.8</v>
      </c>
      <c r="Z49" s="7">
        <v>66.2</v>
      </c>
      <c r="AA49" s="4">
        <v>65.5</v>
      </c>
      <c r="AB49" s="4">
        <v>64.45</v>
      </c>
      <c r="AC49" s="4">
        <v>64.2</v>
      </c>
      <c r="AD49" s="4">
        <v>63.5</v>
      </c>
      <c r="AE49" s="4">
        <v>62.724999999999994</v>
      </c>
      <c r="AF49" s="4">
        <v>63.624999999999993</v>
      </c>
    </row>
    <row r="50" spans="1:32" x14ac:dyDescent="0.25">
      <c r="A50" s="5" t="s">
        <v>49</v>
      </c>
      <c r="B50" s="4">
        <v>72</v>
      </c>
      <c r="C50" s="4">
        <v>75.900000000000006</v>
      </c>
      <c r="D50" s="4">
        <v>76.400000000000006</v>
      </c>
      <c r="E50" s="4">
        <v>72.5</v>
      </c>
      <c r="F50" s="4">
        <v>73.2</v>
      </c>
      <c r="G50" s="6">
        <v>74.8</v>
      </c>
      <c r="H50" s="4">
        <v>72</v>
      </c>
      <c r="I50" s="4">
        <v>72.400000000000006</v>
      </c>
      <c r="J50" s="4">
        <v>73.3</v>
      </c>
      <c r="K50" s="4">
        <v>73.3</v>
      </c>
      <c r="L50" s="4">
        <v>73.7</v>
      </c>
      <c r="M50" s="4">
        <v>73.099999999999994</v>
      </c>
      <c r="N50" s="6">
        <v>74.3</v>
      </c>
      <c r="O50" s="3">
        <v>74.599999999999994</v>
      </c>
      <c r="P50" s="3">
        <v>74.8</v>
      </c>
      <c r="Q50" s="3">
        <v>74.8</v>
      </c>
      <c r="R50" s="3">
        <v>75.900000000000006</v>
      </c>
      <c r="S50" s="4">
        <v>76.400000000000006</v>
      </c>
      <c r="T50" s="4">
        <v>77.2</v>
      </c>
      <c r="U50" s="4">
        <v>78.099999999999994</v>
      </c>
      <c r="V50" s="8">
        <v>80.3</v>
      </c>
      <c r="W50" s="9">
        <v>81.3</v>
      </c>
      <c r="X50" s="7">
        <v>78.400000000000006</v>
      </c>
      <c r="Y50" s="7">
        <v>77.599999999999994</v>
      </c>
      <c r="Z50" s="7">
        <v>77.8</v>
      </c>
      <c r="AA50" s="4">
        <v>78.724999999999994</v>
      </c>
      <c r="AB50" s="4">
        <v>79</v>
      </c>
      <c r="AC50" s="4">
        <v>78.724999999999994</v>
      </c>
      <c r="AD50" s="4">
        <v>75.775000000000006</v>
      </c>
      <c r="AE50" s="4">
        <v>76.775000000000006</v>
      </c>
      <c r="AF50" s="4">
        <v>75.574999999999989</v>
      </c>
    </row>
    <row r="51" spans="1:32" x14ac:dyDescent="0.25">
      <c r="A51" s="5" t="s">
        <v>50</v>
      </c>
      <c r="B51" s="4">
        <v>65.2</v>
      </c>
      <c r="C51" s="4">
        <v>63.8</v>
      </c>
      <c r="D51" s="4">
        <v>66.5</v>
      </c>
      <c r="E51" s="4">
        <v>68.2</v>
      </c>
      <c r="F51" s="4">
        <v>68</v>
      </c>
      <c r="G51" s="6">
        <v>69.3</v>
      </c>
      <c r="H51" s="4">
        <v>68.3</v>
      </c>
      <c r="I51" s="4">
        <v>68.900000000000006</v>
      </c>
      <c r="J51" s="4">
        <v>69.400000000000006</v>
      </c>
      <c r="K51" s="4">
        <v>65.7</v>
      </c>
      <c r="L51" s="4">
        <v>64.2</v>
      </c>
      <c r="M51" s="4">
        <v>67.5</v>
      </c>
      <c r="N51" s="6">
        <v>68.2</v>
      </c>
      <c r="O51" s="3">
        <v>68.3</v>
      </c>
      <c r="P51" s="3">
        <v>70.099999999999994</v>
      </c>
      <c r="Q51" s="3">
        <v>70.900000000000006</v>
      </c>
      <c r="R51" s="3">
        <v>71.8</v>
      </c>
      <c r="S51" s="4">
        <v>72.3</v>
      </c>
      <c r="T51" s="4">
        <v>72.2</v>
      </c>
      <c r="U51" s="4">
        <v>72.8</v>
      </c>
      <c r="V51" s="8">
        <v>73.3</v>
      </c>
      <c r="W51" s="9">
        <v>71.099999999999994</v>
      </c>
      <c r="X51" s="7">
        <v>70.2</v>
      </c>
      <c r="Y51" s="7">
        <v>70.5</v>
      </c>
      <c r="Z51" s="7">
        <v>70.400000000000006</v>
      </c>
      <c r="AA51" s="4">
        <v>70.324999999999989</v>
      </c>
      <c r="AB51" s="4">
        <v>70.95</v>
      </c>
      <c r="AC51" s="4">
        <v>68.5</v>
      </c>
      <c r="AD51" s="4">
        <v>67.525000000000006</v>
      </c>
      <c r="AE51" s="4">
        <v>68.5</v>
      </c>
      <c r="AF51" s="4">
        <v>67.824999999999989</v>
      </c>
    </row>
    <row r="52" spans="1:32" x14ac:dyDescent="0.25">
      <c r="A52" s="5" t="s">
        <v>51</v>
      </c>
      <c r="B52" s="4">
        <v>68.8</v>
      </c>
      <c r="C52" s="4">
        <v>73.2</v>
      </c>
      <c r="D52" s="4">
        <v>72</v>
      </c>
      <c r="E52" s="4">
        <v>68.900000000000006</v>
      </c>
      <c r="F52" s="4">
        <v>67.8</v>
      </c>
      <c r="G52" s="6">
        <v>69.599999999999994</v>
      </c>
      <c r="H52" s="4">
        <v>68.900000000000006</v>
      </c>
      <c r="I52" s="4">
        <v>68.7</v>
      </c>
      <c r="J52" s="4">
        <v>67.900000000000006</v>
      </c>
      <c r="K52" s="4">
        <v>67.099999999999994</v>
      </c>
      <c r="L52" s="4">
        <v>65.8</v>
      </c>
      <c r="M52" s="4">
        <v>69</v>
      </c>
      <c r="N52" s="6">
        <v>68</v>
      </c>
      <c r="O52" s="3">
        <v>67.599999999999994</v>
      </c>
      <c r="P52" s="3">
        <v>70</v>
      </c>
      <c r="Q52" s="3">
        <v>69.8</v>
      </c>
      <c r="R52" s="3">
        <v>71</v>
      </c>
      <c r="S52" s="4">
        <v>73.5</v>
      </c>
      <c r="T52" s="4">
        <v>73</v>
      </c>
      <c r="U52" s="4">
        <v>72.900000000000006</v>
      </c>
      <c r="V52" s="8">
        <v>72.8</v>
      </c>
      <c r="W52" s="9">
        <v>72.8</v>
      </c>
      <c r="X52" s="7">
        <v>73.7</v>
      </c>
      <c r="Y52" s="7">
        <v>73.2</v>
      </c>
      <c r="Z52" s="7">
        <v>73.3</v>
      </c>
      <c r="AA52" s="4">
        <v>73.775000000000006</v>
      </c>
      <c r="AB52" s="4">
        <v>73.424999999999997</v>
      </c>
      <c r="AC52" s="4">
        <v>71.075000000000003</v>
      </c>
      <c r="AD52" s="4">
        <v>70.325000000000003</v>
      </c>
      <c r="AE52" s="4">
        <v>70.55</v>
      </c>
      <c r="AF52" s="4">
        <v>70.8</v>
      </c>
    </row>
  </sheetData>
  <pageMargins left="0.75" right="0.75" top="1" bottom="1" header="0.5" footer="0.5"/>
  <pageSetup scale="4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8"/>
  <sheetViews>
    <sheetView showGridLines="0" workbookViewId="0"/>
  </sheetViews>
  <sheetFormatPr defaultColWidth="12.7109375" defaultRowHeight="15" x14ac:dyDescent="0.25"/>
  <cols>
    <col min="1" max="1" width="16.85546875" bestFit="1" customWidth="1"/>
    <col min="2" max="52" width="12.7109375" customWidth="1"/>
  </cols>
  <sheetData>
    <row r="1" spans="1:52" s="14" customFormat="1" ht="18.75" x14ac:dyDescent="0.3">
      <c r="A1" s="16" t="s">
        <v>204</v>
      </c>
      <c r="B1" s="19" t="s">
        <v>205</v>
      </c>
    </row>
    <row r="2" spans="1:52" s="14" customFormat="1" ht="11.25" x14ac:dyDescent="0.2">
      <c r="A2" s="17" t="s">
        <v>206</v>
      </c>
      <c r="B2" s="19" t="s">
        <v>207</v>
      </c>
    </row>
    <row r="3" spans="1:52" s="14" customFormat="1" ht="11.25" x14ac:dyDescent="0.2">
      <c r="A3" s="17" t="s">
        <v>208</v>
      </c>
      <c r="B3" s="19" t="s">
        <v>209</v>
      </c>
    </row>
    <row r="4" spans="1:52" s="14" customFormat="1" ht="11.25" x14ac:dyDescent="0.2">
      <c r="A4" s="17" t="s">
        <v>210</v>
      </c>
      <c r="B4" s="19" t="s">
        <v>406</v>
      </c>
    </row>
    <row r="5" spans="1:52" s="15" customFormat="1" ht="11.25" x14ac:dyDescent="0.2">
      <c r="A5" s="18" t="s">
        <v>211</v>
      </c>
      <c r="B5" s="20" t="s">
        <v>212</v>
      </c>
    </row>
    <row r="7" spans="1:52" ht="15" customHeight="1" x14ac:dyDescent="0.25">
      <c r="A7" s="23"/>
      <c r="B7" s="21" t="s">
        <v>1</v>
      </c>
      <c r="C7" s="21" t="s">
        <v>2</v>
      </c>
      <c r="D7" s="21" t="s">
        <v>3</v>
      </c>
      <c r="E7" s="21" t="s">
        <v>4</v>
      </c>
      <c r="F7" s="21" t="s">
        <v>5</v>
      </c>
      <c r="G7" s="21" t="s">
        <v>6</v>
      </c>
      <c r="H7" s="21" t="s">
        <v>7</v>
      </c>
      <c r="I7" s="21" t="s">
        <v>8</v>
      </c>
      <c r="J7" s="21" t="s">
        <v>9</v>
      </c>
      <c r="K7" s="21" t="s">
        <v>10</v>
      </c>
      <c r="L7" s="21" t="s">
        <v>11</v>
      </c>
      <c r="M7" s="21" t="s">
        <v>12</v>
      </c>
      <c r="N7" s="21" t="s">
        <v>13</v>
      </c>
      <c r="O7" s="21" t="s">
        <v>14</v>
      </c>
      <c r="P7" s="21" t="s">
        <v>15</v>
      </c>
      <c r="Q7" s="21" t="s">
        <v>16</v>
      </c>
      <c r="R7" s="21" t="s">
        <v>17</v>
      </c>
      <c r="S7" s="21" t="s">
        <v>18</v>
      </c>
      <c r="T7" s="21" t="s">
        <v>19</v>
      </c>
      <c r="U7" s="21" t="s">
        <v>20</v>
      </c>
      <c r="V7" s="21" t="s">
        <v>21</v>
      </c>
      <c r="W7" s="21" t="s">
        <v>22</v>
      </c>
      <c r="X7" s="21" t="s">
        <v>23</v>
      </c>
      <c r="Y7" s="21" t="s">
        <v>24</v>
      </c>
      <c r="Z7" s="21" t="s">
        <v>25</v>
      </c>
      <c r="AA7" s="21" t="s">
        <v>26</v>
      </c>
      <c r="AB7" s="21" t="s">
        <v>27</v>
      </c>
      <c r="AC7" s="21" t="s">
        <v>28</v>
      </c>
      <c r="AD7" s="21" t="s">
        <v>29</v>
      </c>
      <c r="AE7" s="21" t="s">
        <v>30</v>
      </c>
      <c r="AF7" s="21" t="s">
        <v>31</v>
      </c>
      <c r="AG7" s="21" t="s">
        <v>32</v>
      </c>
      <c r="AH7" s="21" t="s">
        <v>33</v>
      </c>
      <c r="AI7" s="21" t="s">
        <v>34</v>
      </c>
      <c r="AJ7" s="21" t="s">
        <v>35</v>
      </c>
      <c r="AK7" s="21" t="s">
        <v>36</v>
      </c>
      <c r="AL7" s="21" t="s">
        <v>37</v>
      </c>
      <c r="AM7" s="21" t="s">
        <v>38</v>
      </c>
      <c r="AN7" s="21" t="s">
        <v>39</v>
      </c>
      <c r="AO7" s="21" t="s">
        <v>40</v>
      </c>
      <c r="AP7" s="21" t="s">
        <v>41</v>
      </c>
      <c r="AQ7" s="21" t="s">
        <v>42</v>
      </c>
      <c r="AR7" s="21" t="s">
        <v>43</v>
      </c>
      <c r="AS7" s="21" t="s">
        <v>44</v>
      </c>
      <c r="AT7" s="21" t="s">
        <v>45</v>
      </c>
      <c r="AU7" s="21" t="s">
        <v>46</v>
      </c>
      <c r="AV7" s="21" t="s">
        <v>47</v>
      </c>
      <c r="AW7" s="21" t="s">
        <v>48</v>
      </c>
      <c r="AX7" s="21" t="s">
        <v>49</v>
      </c>
      <c r="AY7" s="21" t="s">
        <v>50</v>
      </c>
      <c r="AZ7" s="21" t="s">
        <v>51</v>
      </c>
    </row>
    <row r="8" spans="1:52" ht="15" customHeight="1" thickBot="1" x14ac:dyDescent="0.3">
      <c r="A8" s="24" t="s">
        <v>207</v>
      </c>
      <c r="B8" s="22" t="s">
        <v>246</v>
      </c>
      <c r="C8" s="22" t="s">
        <v>246</v>
      </c>
      <c r="D8" s="22" t="s">
        <v>246</v>
      </c>
      <c r="E8" s="22" t="s">
        <v>246</v>
      </c>
      <c r="F8" s="22" t="s">
        <v>246</v>
      </c>
      <c r="G8" s="22" t="s">
        <v>246</v>
      </c>
      <c r="H8" s="22" t="s">
        <v>246</v>
      </c>
      <c r="I8" s="22" t="s">
        <v>246</v>
      </c>
      <c r="J8" s="22" t="s">
        <v>246</v>
      </c>
      <c r="K8" s="22" t="s">
        <v>246</v>
      </c>
      <c r="L8" s="22" t="s">
        <v>246</v>
      </c>
      <c r="M8" s="22" t="s">
        <v>246</v>
      </c>
      <c r="N8" s="22" t="s">
        <v>246</v>
      </c>
      <c r="O8" s="22" t="s">
        <v>246</v>
      </c>
      <c r="P8" s="22" t="s">
        <v>246</v>
      </c>
      <c r="Q8" s="22" t="s">
        <v>246</v>
      </c>
      <c r="R8" s="22" t="s">
        <v>246</v>
      </c>
      <c r="S8" s="22" t="s">
        <v>246</v>
      </c>
      <c r="T8" s="22" t="s">
        <v>246</v>
      </c>
      <c r="U8" s="22" t="s">
        <v>246</v>
      </c>
      <c r="V8" s="22" t="s">
        <v>246</v>
      </c>
      <c r="W8" s="22" t="s">
        <v>246</v>
      </c>
      <c r="X8" s="22" t="s">
        <v>246</v>
      </c>
      <c r="Y8" s="22" t="s">
        <v>246</v>
      </c>
      <c r="Z8" s="22" t="s">
        <v>246</v>
      </c>
      <c r="AA8" s="22" t="s">
        <v>246</v>
      </c>
      <c r="AB8" s="22" t="s">
        <v>246</v>
      </c>
      <c r="AC8" s="22" t="s">
        <v>246</v>
      </c>
      <c r="AD8" s="22" t="s">
        <v>246</v>
      </c>
      <c r="AE8" s="22" t="s">
        <v>246</v>
      </c>
      <c r="AF8" s="22" t="s">
        <v>246</v>
      </c>
      <c r="AG8" s="22" t="s">
        <v>246</v>
      </c>
      <c r="AH8" s="22" t="s">
        <v>246</v>
      </c>
      <c r="AI8" s="22" t="s">
        <v>246</v>
      </c>
      <c r="AJ8" s="22" t="s">
        <v>246</v>
      </c>
      <c r="AK8" s="22" t="s">
        <v>246</v>
      </c>
      <c r="AL8" s="22" t="s">
        <v>246</v>
      </c>
      <c r="AM8" s="22" t="s">
        <v>246</v>
      </c>
      <c r="AN8" s="22" t="s">
        <v>246</v>
      </c>
      <c r="AO8" s="22" t="s">
        <v>246</v>
      </c>
      <c r="AP8" s="22" t="s">
        <v>246</v>
      </c>
      <c r="AQ8" s="22" t="s">
        <v>246</v>
      </c>
      <c r="AR8" s="22" t="s">
        <v>246</v>
      </c>
      <c r="AS8" s="22" t="s">
        <v>246</v>
      </c>
      <c r="AT8" s="22" t="s">
        <v>246</v>
      </c>
      <c r="AU8" s="22" t="s">
        <v>246</v>
      </c>
      <c r="AV8" s="22" t="s">
        <v>246</v>
      </c>
      <c r="AW8" s="22" t="s">
        <v>246</v>
      </c>
      <c r="AX8" s="22" t="s">
        <v>246</v>
      </c>
      <c r="AY8" s="22" t="s">
        <v>246</v>
      </c>
      <c r="AZ8" s="22" t="s">
        <v>246</v>
      </c>
    </row>
    <row r="9" spans="1:52" ht="15" customHeight="1" thickTop="1" x14ac:dyDescent="0.25">
      <c r="A9" s="21" t="s">
        <v>238</v>
      </c>
      <c r="B9" s="25">
        <f>_xll.StatMean(ST_Alabama)</f>
        <v>72.008064516129039</v>
      </c>
      <c r="C9" s="25">
        <f>_xll.StatMean(ST_Alaska)</f>
        <v>63.124193548387083</v>
      </c>
      <c r="D9" s="25">
        <f>_xll.StatMean(ST_Arizona)</f>
        <v>66.329032258064515</v>
      </c>
      <c r="E9" s="25">
        <f>_xll.StatMean(ST_Arkansas)</f>
        <v>67.991129032258073</v>
      </c>
      <c r="F9" s="25">
        <f>_xll.StatMean(ST_California)</f>
        <v>55.987096774193553</v>
      </c>
      <c r="G9" s="25">
        <f>_xll.StatMean(ST_Colorado)</f>
        <v>65.465322580645164</v>
      </c>
      <c r="H9" s="25">
        <f>_xll.StatMean(ST_Connecticut)</f>
        <v>68.822580645161295</v>
      </c>
      <c r="I9" s="25">
        <f>_xll.StatMean(ST_Delaware)</f>
        <v>73.007258064516137</v>
      </c>
      <c r="J9" s="25">
        <f>_xll.StatMean(ST_DistofColumbia)</f>
        <v>40.981451612903221</v>
      </c>
      <c r="K9" s="25">
        <f>_xll.StatMean(ST_Florida)</f>
        <v>67.810483870967758</v>
      </c>
      <c r="L9" s="25">
        <f>_xll.StatMean(ST_Georgia)</f>
        <v>66.987096774193546</v>
      </c>
      <c r="M9" s="25">
        <f>_xll.StatMean(ST_Hawaii)</f>
        <v>55.213709677419345</v>
      </c>
      <c r="N9" s="25">
        <f>_xll.StatMean(ST_Idaho)</f>
        <v>71.927419354838719</v>
      </c>
      <c r="O9" s="25">
        <f>_xll.StatMean(ST_Illinois)</f>
        <v>66.371774193548404</v>
      </c>
      <c r="P9" s="25">
        <f>_xll.StatMean(ST_Indiana)</f>
        <v>71.467741935483886</v>
      </c>
      <c r="Q9" s="25">
        <f>_xll.StatMean(ST_Iowa)</f>
        <v>71.44112903225809</v>
      </c>
      <c r="R9" s="25">
        <f>_xll.StatMean(ST_Kansas)</f>
        <v>68.179838709677412</v>
      </c>
      <c r="S9" s="25">
        <f>_xll.StatMean(ST_Kentucky)</f>
        <v>70.536290322580655</v>
      </c>
      <c r="T9" s="25">
        <f>_xll.StatMean(ST_Louisiana)</f>
        <v>68.545161290322582</v>
      </c>
      <c r="U9" s="25">
        <f>_xll.StatMean(ST_Maine)</f>
        <v>74.058870967741939</v>
      </c>
      <c r="V9" s="25">
        <f>_xll.StatMean(ST_Maryland)</f>
        <v>67.895967741935479</v>
      </c>
      <c r="W9" s="25">
        <f>_xll.StatMean(ST_Massachusetts)</f>
        <v>62.238709677419358</v>
      </c>
      <c r="X9" s="25">
        <f>_xll.StatMean(ST_Michigan)</f>
        <v>73.995967741935488</v>
      </c>
      <c r="Y9" s="25">
        <f>_xll.StatMean(ST_Minnesota)</f>
        <v>72.45887096774193</v>
      </c>
      <c r="Z9" s="25">
        <f>_xll.StatMean(ST_Mississippi)</f>
        <v>73.29435483870968</v>
      </c>
      <c r="AA9" s="25">
        <f>_xll.StatMean(ST_Missouri)</f>
        <v>69.850806451612911</v>
      </c>
      <c r="AB9" s="25">
        <f>_xll.StatMean(ST_Montana)</f>
        <v>68.561290322580646</v>
      </c>
      <c r="AC9" s="25">
        <f>_xll.StatMean(ST_Nebraska)</f>
        <v>68.579838709677418</v>
      </c>
      <c r="AD9" s="25">
        <f>_xll.StatMean(ST_Nevada)</f>
        <v>59.479838709677416</v>
      </c>
      <c r="AE9" s="25">
        <f>_xll.StatMean(ST_NewHampshire)</f>
        <v>69.777419354838713</v>
      </c>
      <c r="AF9" s="25">
        <f>_xll.StatMean(ST_NewJersey)</f>
        <v>65.552419354838719</v>
      </c>
      <c r="AG9" s="25">
        <f>_xll.StatMean(ST_NewMexico)</f>
        <v>69.131451612903234</v>
      </c>
      <c r="AH9" s="25">
        <f>_xll.StatMean(ST_NewYork)</f>
        <v>53.272580645161298</v>
      </c>
      <c r="AI9" s="25">
        <f>_xll.StatMean(ST_NorthCarolina)</f>
        <v>69.389516129032259</v>
      </c>
      <c r="AJ9" s="25">
        <f>_xll.StatMean(ST_NorthDakota)</f>
        <v>67.614516129032268</v>
      </c>
      <c r="AK9" s="25">
        <f>_xll.StatMean(ST_Ohio)</f>
        <v>69.71209677419354</v>
      </c>
      <c r="AL9" s="25">
        <f>_xll.StatMean(ST_Oklahoma)</f>
        <v>70.195161290322574</v>
      </c>
      <c r="AM9" s="25">
        <f>_xll.StatMean(ST_Oregon)</f>
        <v>64.916935483870958</v>
      </c>
      <c r="AN9" s="25">
        <f>_xll.StatMean(ST_Pennsylvania)</f>
        <v>72.68629032258066</v>
      </c>
      <c r="AO9" s="25">
        <f>_xll.StatMean(ST_RhodeIsland)</f>
        <v>60.752419354838715</v>
      </c>
      <c r="AP9" s="25">
        <f>_xll.StatMean(ST_SouthCarolina)</f>
        <v>73.462903225806457</v>
      </c>
      <c r="AQ9" s="25">
        <f>_xll.StatMean(ST_SouthDakota)</f>
        <v>68.481451612903243</v>
      </c>
      <c r="AR9" s="25">
        <f>_xll.StatMean(ST_Tennessee)</f>
        <v>68.966935483870984</v>
      </c>
      <c r="AS9" s="25">
        <f>_xll.StatMean(ST_Texas)</f>
        <v>62.606451612903221</v>
      </c>
      <c r="AT9" s="25">
        <f>_xll.StatMean(ST_Utah)</f>
        <v>71.891935483870981</v>
      </c>
      <c r="AU9" s="25">
        <f>_xll.StatMean(ST_Vermont)</f>
        <v>71.112096774193532</v>
      </c>
      <c r="AV9" s="25">
        <f>_xll.StatMean(ST_Virginia)</f>
        <v>70.033064516129031</v>
      </c>
      <c r="AW9" s="25">
        <f>_xll.StatMean(ST_Washington)</f>
        <v>64.49677419354839</v>
      </c>
      <c r="AX9" s="25">
        <f>_xll.StatMean(ST_WestVirginia)</f>
        <v>75.763709677419342</v>
      </c>
      <c r="AY9" s="25">
        <f>_xll.StatMean(ST_Wisconsin)</f>
        <v>69.055645161290329</v>
      </c>
      <c r="AZ9" s="25">
        <f>_xll.StatMean(ST_Wyoming)</f>
        <v>70.620967741935502</v>
      </c>
    </row>
    <row r="10" spans="1:52" ht="15" customHeight="1" x14ac:dyDescent="0.25">
      <c r="A10" s="21" t="s">
        <v>239</v>
      </c>
      <c r="B10" s="25">
        <f>_xll.StatStdDev(ST_Alabama)</f>
        <v>2.7056144334264616</v>
      </c>
      <c r="C10" s="25">
        <f>_xll.StatStdDev(ST_Alaska)</f>
        <v>4.1363101706662411</v>
      </c>
      <c r="D10" s="25">
        <f>_xll.StatStdDev(ST_Arizona)</f>
        <v>2.6207195002374304</v>
      </c>
      <c r="E10" s="25">
        <f>_xll.StatStdDev(ST_Arkansas)</f>
        <v>1.6790318190738278</v>
      </c>
      <c r="F10" s="25">
        <f>_xll.StatStdDev(ST_California)</f>
        <v>1.9448529396818801</v>
      </c>
      <c r="G10" s="25">
        <f>_xll.StatStdDev(ST_Colorado)</f>
        <v>3.7575129042767705</v>
      </c>
      <c r="H10" s="25">
        <f>_xll.StatStdDev(ST_Connecticut)</f>
        <v>2.2345334602431532</v>
      </c>
      <c r="I10" s="25">
        <f>_xll.StatStdDev(ST_Delaware)</f>
        <v>2.787122123478408</v>
      </c>
      <c r="J10" s="25">
        <f>_xll.StatStdDev(ST_DistofColumbia)</f>
        <v>3.9305532251725048</v>
      </c>
      <c r="K10" s="25">
        <f>_xll.StatStdDev(ST_Florida)</f>
        <v>2.3965493787383534</v>
      </c>
      <c r="L10" s="25">
        <f>_xll.StatStdDev(ST_Georgia)</f>
        <v>2.9544589956520384</v>
      </c>
      <c r="M10" s="25">
        <f>_xll.StatStdDev(ST_Hawaii)</f>
        <v>3.382084162106243</v>
      </c>
      <c r="N10" s="25">
        <f>_xll.StatStdDev(ST_Idaho)</f>
        <v>1.8585652490419142</v>
      </c>
      <c r="O10" s="25">
        <f>_xll.StatStdDev(ST_Illinois)</f>
        <v>3.5634588881186544</v>
      </c>
      <c r="P10" s="25">
        <f>_xll.StatStdDev(ST_Indiana)</f>
        <v>2.953283437890128</v>
      </c>
      <c r="Q10" s="25">
        <f>_xll.StatStdDev(ST_Iowa)</f>
        <v>2.4527921877177112</v>
      </c>
      <c r="R10" s="25">
        <f>_xll.StatStdDev(ST_Kansas)</f>
        <v>2.0810896520296636</v>
      </c>
      <c r="S10" s="25">
        <f>_xll.StatStdDev(ST_Kentucky)</f>
        <v>2.9684229729330287</v>
      </c>
      <c r="T10" s="25">
        <f>_xll.StatStdDev(ST_Louisiana)</f>
        <v>2.3809523598310287</v>
      </c>
      <c r="U10" s="25">
        <f>_xll.StatStdDev(ST_Maine)</f>
        <v>1.4691486818774906</v>
      </c>
      <c r="V10" s="25">
        <f>_xll.StatStdDev(ST_Maryland)</f>
        <v>3.0603315232598676</v>
      </c>
      <c r="W10" s="25">
        <f>_xll.StatStdDev(ST_Massachusetts)</f>
        <v>2.229843405466676</v>
      </c>
      <c r="X10" s="25">
        <f>_xll.StatStdDev(ST_Michigan)</f>
        <v>2.1429642318351312</v>
      </c>
      <c r="Y10" s="25">
        <f>_xll.StatStdDev(ST_Minnesota)</f>
        <v>3.4119370621582439</v>
      </c>
      <c r="Z10" s="25">
        <f>_xll.StatStdDev(ST_Mississippi)</f>
        <v>2.2672735983759158</v>
      </c>
      <c r="AA10" s="25">
        <f>_xll.StatStdDev(ST_Missouri)</f>
        <v>3.1812306572494333</v>
      </c>
      <c r="AB10" s="25">
        <f>_xll.StatStdDev(ST_Montana)</f>
        <v>1.8651724530374902</v>
      </c>
      <c r="AC10" s="25">
        <f>_xll.StatStdDev(ST_Nebraska)</f>
        <v>1.381506112829382</v>
      </c>
      <c r="AD10" s="25">
        <f>_xll.StatStdDev(ST_Nevada)</f>
        <v>4.1065568472608476</v>
      </c>
      <c r="AE10" s="25">
        <f>_xll.StatStdDev(ST_NewHampshire)</f>
        <v>3.8825429533935933</v>
      </c>
      <c r="AF10" s="25">
        <f>_xll.StatStdDev(ST_NewJersey)</f>
        <v>1.8675112096797628</v>
      </c>
      <c r="AG10" s="25">
        <f>_xll.StatStdDev(ST_NewMexico)</f>
        <v>2.1366540016064013</v>
      </c>
      <c r="AH10" s="25">
        <f>_xll.StatStdDev(ST_NewYork)</f>
        <v>1.4289470896244678</v>
      </c>
      <c r="AI10" s="25">
        <f>_xll.StatStdDev(ST_NorthCarolina)</f>
        <v>1.2817919454411655</v>
      </c>
      <c r="AJ10" s="25">
        <f>_xll.StatStdDev(ST_NorthDakota)</f>
        <v>2.1415315216135657</v>
      </c>
      <c r="AK10" s="25">
        <f>_xll.StatStdDev(ST_Ohio)</f>
        <v>1.7629741793314049</v>
      </c>
      <c r="AL10" s="25">
        <f>_xll.StatStdDev(ST_Oklahoma)</f>
        <v>1.2242415909934929</v>
      </c>
      <c r="AM10" s="25">
        <f>_xll.StatStdDev(ST_Oregon)</f>
        <v>2.0418372761720249</v>
      </c>
      <c r="AN10" s="25">
        <f>_xll.StatStdDev(ST_Pennsylvania)</f>
        <v>1.3056262659109459</v>
      </c>
      <c r="AO10" s="25">
        <f>_xll.StatStdDev(ST_RhodeIsland)</f>
        <v>2.3454863997927817</v>
      </c>
      <c r="AP10" s="25">
        <f>_xll.StatStdDev(ST_SouthCarolina)</f>
        <v>2.1324269327824372</v>
      </c>
      <c r="AQ10" s="25">
        <f>_xll.StatStdDev(ST_SouthDakota)</f>
        <v>1.9182996783386013</v>
      </c>
      <c r="AR10" s="25">
        <f>_xll.StatStdDev(ST_Tennessee)</f>
        <v>2.1572685960952862</v>
      </c>
      <c r="AS10" s="25">
        <f>_xll.StatStdDev(ST_Texas)</f>
        <v>2.350265656455452</v>
      </c>
      <c r="AT10" s="25">
        <f>_xll.StatStdDev(ST_Utah)</f>
        <v>2.035767536425904</v>
      </c>
      <c r="AU10" s="25">
        <f>_xll.StatStdDev(ST_Vermont)</f>
        <v>2.1228898441328923</v>
      </c>
      <c r="AV10" s="25">
        <f>_xll.StatStdDev(ST_Virginia)</f>
        <v>2.2143602076067626</v>
      </c>
      <c r="AW10" s="25">
        <f>_xll.StatStdDev(ST_Washington)</f>
        <v>1.7169588173992887</v>
      </c>
      <c r="AX10" s="25">
        <f>_xll.StatStdDev(ST_WestVirginia)</f>
        <v>2.515169301041825</v>
      </c>
      <c r="AY10" s="25">
        <f>_xll.StatStdDev(ST_Wisconsin)</f>
        <v>2.406438496317564</v>
      </c>
      <c r="AZ10" s="25">
        <f>_xll.StatStdDev(ST_Wyoming)</f>
        <v>2.3341049031533982</v>
      </c>
    </row>
    <row r="11" spans="1:52" ht="15" customHeight="1" x14ac:dyDescent="0.25">
      <c r="A11" s="21" t="s">
        <v>240</v>
      </c>
      <c r="B11" s="25">
        <f>_xll.StatMedian(ST_Alabama)</f>
        <v>72.724999999999994</v>
      </c>
      <c r="C11" s="25">
        <f>_xll.StatMedian(ST_Alaska)</f>
        <v>64.575000000000003</v>
      </c>
      <c r="D11" s="25">
        <f>_xll.StatMedian(ST_Arizona)</f>
        <v>66.099999999999994</v>
      </c>
      <c r="E11" s="25">
        <f>_xll.StatMedian(ST_Arkansas)</f>
        <v>67.849999999999994</v>
      </c>
      <c r="F11" s="25">
        <f>_xll.StatMedian(ST_California)</f>
        <v>55.5</v>
      </c>
      <c r="G11" s="25">
        <f>_xll.StatMedian(ST_Colorado)</f>
        <v>65</v>
      </c>
      <c r="H11" s="25">
        <f>_xll.StatMedian(ST_Connecticut)</f>
        <v>69</v>
      </c>
      <c r="I11" s="25">
        <f>_xll.StatMedian(ST_Delaware)</f>
        <v>73.45</v>
      </c>
      <c r="J11" s="25">
        <f>_xll.StatMedian(ST_DistofColumbia)</f>
        <v>41.525000000000006</v>
      </c>
      <c r="K11" s="25">
        <f>_xll.StatMedian(ST_Florida)</f>
        <v>67.024999999999991</v>
      </c>
      <c r="L11" s="25">
        <f>_xll.StatMedian(ST_Georgia)</f>
        <v>66.900000000000006</v>
      </c>
      <c r="M11" s="25">
        <f>_xll.StatMedian(ST_Hawaii)</f>
        <v>55.449999999999996</v>
      </c>
      <c r="N11" s="25">
        <f>_xll.StatMedian(ST_Idaho)</f>
        <v>71.7</v>
      </c>
      <c r="O11" s="25">
        <f>_xll.StatMedian(ST_Illinois)</f>
        <v>67.174999999999997</v>
      </c>
      <c r="P11" s="25">
        <f>_xll.StatMedian(ST_Indiana)</f>
        <v>72.025000000000006</v>
      </c>
      <c r="Q11" s="25">
        <f>_xll.StatMedian(ST_Iowa)</f>
        <v>71.3</v>
      </c>
      <c r="R11" s="25">
        <f>_xll.StatMedian(ST_Kansas)</f>
        <v>68.599999999999994</v>
      </c>
      <c r="S11" s="25">
        <f>_xll.StatMedian(ST_Kentucky)</f>
        <v>70.599999999999994</v>
      </c>
      <c r="T11" s="25">
        <f>_xll.StatMedian(ST_Louisiana)</f>
        <v>68.099999999999994</v>
      </c>
      <c r="U11" s="25">
        <f>_xll.StatMedian(ST_Maine)</f>
        <v>74</v>
      </c>
      <c r="V11" s="25">
        <f>_xll.StatMedian(ST_Maryland)</f>
        <v>68.474999999999994</v>
      </c>
      <c r="W11" s="25">
        <f>_xll.StatMedian(ST_Massachusetts)</f>
        <v>61.7</v>
      </c>
      <c r="X11" s="25">
        <f>_xll.StatMedian(ST_Michigan)</f>
        <v>73.875</v>
      </c>
      <c r="Y11" s="25">
        <f>_xll.StatMedian(ST_Minnesota)</f>
        <v>72.900000000000006</v>
      </c>
      <c r="Z11" s="25">
        <f>_xll.StatMedian(ST_Mississippi)</f>
        <v>73.7</v>
      </c>
      <c r="AA11" s="25">
        <f>_xll.StatMedian(ST_Missouri)</f>
        <v>70.525000000000006</v>
      </c>
      <c r="AB11" s="25">
        <f>_xll.StatMedian(ST_Montana)</f>
        <v>68.599999999999994</v>
      </c>
      <c r="AC11" s="25">
        <f>_xll.StatMedian(ST_Nebraska)</f>
        <v>68.400000000000006</v>
      </c>
      <c r="AD11" s="25">
        <f>_xll.StatMedian(ST_Nevada)</f>
        <v>58.9</v>
      </c>
      <c r="AE11" s="25">
        <f>_xll.StatMedian(ST_NewHampshire)</f>
        <v>69.2</v>
      </c>
      <c r="AF11" s="25">
        <f>_xll.StatMedian(ST_NewJersey)</f>
        <v>65</v>
      </c>
      <c r="AG11" s="25">
        <f>_xll.StatMedian(ST_NewMexico)</f>
        <v>69.099999999999994</v>
      </c>
      <c r="AH11" s="25">
        <f>_xll.StatMedian(ST_NewYork)</f>
        <v>53.024999999999999</v>
      </c>
      <c r="AI11" s="25">
        <f>_xll.StatMedian(ST_NorthCarolina)</f>
        <v>69.400000000000006</v>
      </c>
      <c r="AJ11" s="25">
        <f>_xll.StatMedian(ST_NorthDakota)</f>
        <v>68</v>
      </c>
      <c r="AK11" s="25">
        <f>_xll.StatMedian(ST_Ohio)</f>
        <v>69.2</v>
      </c>
      <c r="AL11" s="25">
        <f>_xll.StatMedian(ST_Oklahoma)</f>
        <v>69.900000000000006</v>
      </c>
      <c r="AM11" s="25">
        <f>_xll.StatMedian(ST_Oregon)</f>
        <v>64.400000000000006</v>
      </c>
      <c r="AN11" s="25">
        <f>_xll.StatMedian(ST_Pennsylvania)</f>
        <v>72.599999999999994</v>
      </c>
      <c r="AO11" s="25">
        <f>_xll.StatMedian(ST_RhodeIsland)</f>
        <v>61.2</v>
      </c>
      <c r="AP11" s="25">
        <f>_xll.StatMedian(ST_SouthCarolina)</f>
        <v>73.8</v>
      </c>
      <c r="AQ11" s="25">
        <f>_xll.StatMedian(ST_SouthDakota)</f>
        <v>68.400000000000006</v>
      </c>
      <c r="AR11" s="25">
        <f>_xll.StatMedian(ST_Tennessee)</f>
        <v>68.8</v>
      </c>
      <c r="AS11" s="25">
        <f>_xll.StatMedian(ST_Texas)</f>
        <v>62.5</v>
      </c>
      <c r="AT11" s="25">
        <f>_xll.StatMedian(ST_Utah)</f>
        <v>71.5</v>
      </c>
      <c r="AU11" s="25">
        <f>_xll.StatMedian(ST_Vermont)</f>
        <v>70.5</v>
      </c>
      <c r="AV11" s="25">
        <f>_xll.StatMedian(ST_Virginia)</f>
        <v>69.3</v>
      </c>
      <c r="AW11" s="25">
        <f>_xll.StatMedian(ST_Washington)</f>
        <v>64.400000000000006</v>
      </c>
      <c r="AX11" s="25">
        <f>_xll.StatMedian(ST_WestVirginia)</f>
        <v>75.775000000000006</v>
      </c>
      <c r="AY11" s="25">
        <f>_xll.StatMedian(ST_Wisconsin)</f>
        <v>68.900000000000006</v>
      </c>
      <c r="AZ11" s="25">
        <f>_xll.StatMedian(ST_Wyoming)</f>
        <v>70.55</v>
      </c>
    </row>
    <row r="12" spans="1:52" ht="15" customHeight="1" x14ac:dyDescent="0.25">
      <c r="A12" s="21" t="s">
        <v>241</v>
      </c>
      <c r="B12" s="25">
        <f>_xll.StatMin(ST_Alabama)</f>
        <v>66.5</v>
      </c>
      <c r="C12" s="25">
        <f>_xll.StatMin(ST_Alaska)</f>
        <v>55.4</v>
      </c>
      <c r="D12" s="25">
        <f>_xll.StatMin(ST_Arizona)</f>
        <v>62</v>
      </c>
      <c r="E12" s="25">
        <f>_xll.StatMin(ST_Arkansas)</f>
        <v>65.375</v>
      </c>
      <c r="F12" s="25">
        <f>_xll.StatMin(ST_California)</f>
        <v>53.6</v>
      </c>
      <c r="G12" s="25">
        <f>_xll.StatMin(ST_Colorado)</f>
        <v>58.6</v>
      </c>
      <c r="H12" s="25">
        <f>_xll.StatMin(ST_Connecticut)</f>
        <v>63.8</v>
      </c>
      <c r="I12" s="25">
        <f>_xll.StatMin(ST_Delaware)</f>
        <v>67.7</v>
      </c>
      <c r="J12" s="25">
        <f>_xll.StatMin(ST_DistofColumbia)</f>
        <v>34.6</v>
      </c>
      <c r="K12" s="25">
        <f>_xll.StatMin(ST_Florida)</f>
        <v>64.400000000000006</v>
      </c>
      <c r="L12" s="25">
        <f>_xll.StatMin(ST_Georgia)</f>
        <v>62.4</v>
      </c>
      <c r="M12" s="25">
        <f>_xll.StatMin(ST_Hawaii)</f>
        <v>50.2</v>
      </c>
      <c r="N12" s="25">
        <f>_xll.StatMin(ST_Idaho)</f>
        <v>68.400000000000006</v>
      </c>
      <c r="O12" s="25">
        <f>_xll.StatMin(ST_Illinois)</f>
        <v>60.6</v>
      </c>
      <c r="P12" s="25">
        <f>_xll.StatMin(ST_Indiana)</f>
        <v>66.099999999999994</v>
      </c>
      <c r="Q12" s="25">
        <f>_xll.StatMin(ST_Iowa)</f>
        <v>66.3</v>
      </c>
      <c r="R12" s="25">
        <f>_xll.StatMin(ST_Kansas)</f>
        <v>63.199999999999996</v>
      </c>
      <c r="S12" s="25">
        <f>_xll.StatMin(ST_Kentucky)</f>
        <v>64.900000000000006</v>
      </c>
      <c r="T12" s="25">
        <f>_xll.StatMin(ST_Louisiana)</f>
        <v>64.900000000000006</v>
      </c>
      <c r="U12" s="25">
        <f>_xll.StatMin(ST_Maine)</f>
        <v>71.024999999999991</v>
      </c>
      <c r="V12" s="25">
        <f>_xll.StatMin(ST_Maryland)</f>
        <v>62.7</v>
      </c>
      <c r="W12" s="25">
        <f>_xll.StatMin(ST_Massachusetts)</f>
        <v>58.6</v>
      </c>
      <c r="X12" s="25">
        <f>_xll.StatMin(ST_Michigan)</f>
        <v>70.599999999999994</v>
      </c>
      <c r="Y12" s="25">
        <f>_xll.StatMin(ST_Minnesota)</f>
        <v>65.8</v>
      </c>
      <c r="Z12" s="25">
        <f>_xll.StatMin(ST_Mississippi)</f>
        <v>69.2</v>
      </c>
      <c r="AA12" s="25">
        <f>_xll.StatMin(ST_Missouri)</f>
        <v>63.7</v>
      </c>
      <c r="AB12" s="25">
        <f>_xll.StatMin(ST_Montana)</f>
        <v>64.400000000000006</v>
      </c>
      <c r="AC12" s="25">
        <f>_xll.StatMin(ST_Nebraska)</f>
        <v>66.599999999999994</v>
      </c>
      <c r="AD12" s="25">
        <f>_xll.StatMin(ST_Nevada)</f>
        <v>54.1</v>
      </c>
      <c r="AE12" s="25">
        <f>_xll.StatMin(ST_NewHampshire)</f>
        <v>64.8</v>
      </c>
      <c r="AF12" s="25">
        <f>_xll.StatMin(ST_NewJersey)</f>
        <v>62.3</v>
      </c>
      <c r="AG12" s="25">
        <f>_xll.StatMin(ST_NewMexico)</f>
        <v>65.400000000000006</v>
      </c>
      <c r="AH12" s="25">
        <f>_xll.StatMin(ST_NewYork)</f>
        <v>50.3</v>
      </c>
      <c r="AI12" s="25">
        <f>_xll.StatMin(ST_NorthCarolina)</f>
        <v>66.425000000000011</v>
      </c>
      <c r="AJ12" s="25">
        <f>_xll.StatMin(ST_NorthDakota)</f>
        <v>62.7</v>
      </c>
      <c r="AK12" s="25">
        <f>_xll.StatMin(ST_Ohio)</f>
        <v>67.375</v>
      </c>
      <c r="AL12" s="25">
        <f>_xll.StatMin(ST_Oklahoma)</f>
        <v>68.400000000000006</v>
      </c>
      <c r="AM12" s="25">
        <f>_xll.StatMin(ST_Oregon)</f>
        <v>61</v>
      </c>
      <c r="AN12" s="25">
        <f>_xll.StatMin(ST_Pennsylvania)</f>
        <v>69.675000000000011</v>
      </c>
      <c r="AO12" s="25">
        <f>_xll.StatMin(ST_RhodeIsland)</f>
        <v>56.5</v>
      </c>
      <c r="AP12" s="25">
        <f>_xll.StatMin(ST_SouthCarolina)</f>
        <v>69.099999999999994</v>
      </c>
      <c r="AQ12" s="25">
        <f>_xll.StatMin(ST_SouthDakota)</f>
        <v>65.599999999999994</v>
      </c>
      <c r="AR12" s="25">
        <f>_xll.StatMin(ST_Tennessee)</f>
        <v>64.099999999999994</v>
      </c>
      <c r="AS12" s="25">
        <f>_xll.StatMin(ST_Texas)</f>
        <v>58.3</v>
      </c>
      <c r="AT12" s="25">
        <f>_xll.StatMin(ST_Utah)</f>
        <v>68</v>
      </c>
      <c r="AU12" s="25">
        <f>_xll.StatMin(ST_Vermont)</f>
        <v>66.900000000000006</v>
      </c>
      <c r="AV12" s="25">
        <f>_xll.StatMin(ST_Virginia)</f>
        <v>67.8</v>
      </c>
      <c r="AW12" s="25">
        <f>_xll.StatMin(ST_Washington)</f>
        <v>61.6</v>
      </c>
      <c r="AX12" s="25">
        <f>_xll.StatMin(ST_WestVirginia)</f>
        <v>72</v>
      </c>
      <c r="AY12" s="25">
        <f>_xll.StatMin(ST_Wisconsin)</f>
        <v>63.8</v>
      </c>
      <c r="AZ12" s="25">
        <f>_xll.StatMin(ST_Wyoming)</f>
        <v>65.8</v>
      </c>
    </row>
    <row r="13" spans="1:52" ht="15" customHeight="1" x14ac:dyDescent="0.25">
      <c r="A13" s="21" t="s">
        <v>242</v>
      </c>
      <c r="B13" s="25">
        <f>_xll.StatMax(ST_Alabama)</f>
        <v>78</v>
      </c>
      <c r="C13" s="25">
        <f>_xll.StatMax(ST_Alaska)</f>
        <v>70</v>
      </c>
      <c r="D13" s="25">
        <f>_xll.StatMax(ST_Arizona)</f>
        <v>71.599999999999994</v>
      </c>
      <c r="E13" s="25">
        <f>_xll.StatMax(ST_Arkansas)</f>
        <v>71.2</v>
      </c>
      <c r="F13" s="25">
        <f>_xll.StatMax(ST_California)</f>
        <v>60.2</v>
      </c>
      <c r="G13" s="25">
        <f>_xll.StatMax(ST_Colorado)</f>
        <v>71.3</v>
      </c>
      <c r="H13" s="25">
        <f>_xll.StatMax(ST_Connecticut)</f>
        <v>73</v>
      </c>
      <c r="I13" s="25">
        <f>_xll.StatMax(ST_Delaware)</f>
        <v>77.3</v>
      </c>
      <c r="J13" s="25">
        <f>_xll.StatMax(ST_DistofColumbia)</f>
        <v>47.2</v>
      </c>
      <c r="K13" s="25">
        <f>_xll.StatMax(ST_Florida)</f>
        <v>72.400000000000006</v>
      </c>
      <c r="L13" s="25">
        <f>_xll.StatMax(ST_Georgia)</f>
        <v>71.8</v>
      </c>
      <c r="M13" s="25">
        <f>_xll.StatMax(ST_Hawaii)</f>
        <v>60.6</v>
      </c>
      <c r="N13" s="25">
        <f>_xll.StatMax(ST_Idaho)</f>
        <v>75.424999999999997</v>
      </c>
      <c r="O13" s="25">
        <f>_xll.StatMax(ST_Illinois)</f>
        <v>72.7</v>
      </c>
      <c r="P13" s="25">
        <f>_xll.StatMax(ST_Indiana)</f>
        <v>75.8</v>
      </c>
      <c r="Q13" s="25">
        <f>_xll.StatMax(ST_Iowa)</f>
        <v>76.599999999999994</v>
      </c>
      <c r="R13" s="25">
        <f>_xll.StatMax(ST_Kansas)</f>
        <v>72.7</v>
      </c>
      <c r="S13" s="25">
        <f>_xll.StatMax(ST_Kentucky)</f>
        <v>75.099999999999994</v>
      </c>
      <c r="T13" s="25">
        <f>_xll.StatMax(ST_Louisiana)</f>
        <v>73.5</v>
      </c>
      <c r="U13" s="25">
        <f>_xll.StatMax(ST_Maine)</f>
        <v>77.400000000000006</v>
      </c>
      <c r="V13" s="25">
        <f>_xll.StatMax(ST_Maryland)</f>
        <v>72.599999999999994</v>
      </c>
      <c r="W13" s="25">
        <f>_xll.StatMax(ST_Massachusetts)</f>
        <v>65.825000000000003</v>
      </c>
      <c r="X13" s="25">
        <f>_xll.StatMax(ST_Michigan)</f>
        <v>77.400000000000006</v>
      </c>
      <c r="Y13" s="25">
        <f>_xll.StatMax(ST_Minnesota)</f>
        <v>77.3</v>
      </c>
      <c r="Z13" s="25">
        <f>_xll.StatMax(ST_Mississippi)</f>
        <v>78.8</v>
      </c>
      <c r="AA13" s="25">
        <f>_xll.StatMax(ST_Missouri)</f>
        <v>74.8</v>
      </c>
      <c r="AB13" s="25">
        <f>_xll.StatMax(ST_Montana)</f>
        <v>72.400000000000006</v>
      </c>
      <c r="AC13" s="25">
        <f>_xll.StatMax(ST_Nebraska)</f>
        <v>71.2</v>
      </c>
      <c r="AD13" s="25">
        <f>_xll.StatMax(ST_Nevada)</f>
        <v>65.7</v>
      </c>
      <c r="AE13" s="25">
        <f>_xll.StatMax(ST_NewHampshire)</f>
        <v>76.025000000000006</v>
      </c>
      <c r="AF13" s="25">
        <f>_xll.StatMax(ST_NewJersey)</f>
        <v>70.099999999999994</v>
      </c>
      <c r="AG13" s="25">
        <f>_xll.StatMax(ST_NewMexico)</f>
        <v>73.7</v>
      </c>
      <c r="AH13" s="25">
        <f>_xll.StatMax(ST_NewYork)</f>
        <v>55.9</v>
      </c>
      <c r="AI13" s="25">
        <f>_xll.StatMax(ST_NorthCarolina)</f>
        <v>71.7</v>
      </c>
      <c r="AJ13" s="25">
        <f>_xll.StatMax(ST_NorthDakota)</f>
        <v>71</v>
      </c>
      <c r="AK13" s="25">
        <f>_xll.StatMax(ST_Ohio)</f>
        <v>73.3</v>
      </c>
      <c r="AL13" s="25">
        <f>_xll.StatMax(ST_Oklahoma)</f>
        <v>72.900000000000006</v>
      </c>
      <c r="AM13" s="25">
        <f>_xll.StatMax(ST_Oregon)</f>
        <v>69</v>
      </c>
      <c r="AN13" s="25">
        <f>_xll.StatMax(ST_Pennsylvania)</f>
        <v>75.2</v>
      </c>
      <c r="AO13" s="25">
        <f>_xll.StatMax(ST_RhodeIsland)</f>
        <v>64.900000000000006</v>
      </c>
      <c r="AP13" s="25">
        <f>_xll.StatMax(ST_SouthCarolina)</f>
        <v>77.5</v>
      </c>
      <c r="AQ13" s="25">
        <f>_xll.StatMax(ST_SouthDakota)</f>
        <v>71.5</v>
      </c>
      <c r="AR13" s="25">
        <f>_xll.StatMax(ST_Tennessee)</f>
        <v>72.400000000000006</v>
      </c>
      <c r="AS13" s="25">
        <f>_xll.StatMax(ST_Texas)</f>
        <v>66</v>
      </c>
      <c r="AT13" s="25">
        <f>_xll.StatMax(ST_Utah)</f>
        <v>76.2</v>
      </c>
      <c r="AU13" s="25">
        <f>_xll.StatMax(ST_Vermont)</f>
        <v>74.599999999999994</v>
      </c>
      <c r="AV13" s="25">
        <f>_xll.StatMax(ST_Virginia)</f>
        <v>75.099999999999994</v>
      </c>
      <c r="AW13" s="25">
        <f>_xll.StatMax(ST_Washington)</f>
        <v>67.599999999999994</v>
      </c>
      <c r="AX13" s="25">
        <f>_xll.StatMax(ST_WestVirginia)</f>
        <v>81.3</v>
      </c>
      <c r="AY13" s="25">
        <f>_xll.StatMax(ST_Wisconsin)</f>
        <v>73.3</v>
      </c>
      <c r="AZ13" s="25">
        <f>_xll.StatMax(ST_Wyoming)</f>
        <v>73.775000000000006</v>
      </c>
    </row>
    <row r="14" spans="1:52" ht="15" customHeight="1" x14ac:dyDescent="0.25">
      <c r="A14" s="21" t="s">
        <v>243</v>
      </c>
      <c r="B14" s="25">
        <f>_xll.StatQuartile(ST_Alabama, 1)</f>
        <v>70.2</v>
      </c>
      <c r="C14" s="25">
        <f>_xll.StatQuartile(ST_Alaska, 1)</f>
        <v>58.8</v>
      </c>
      <c r="D14" s="25">
        <f>_xll.StatQuartile(ST_Arizona, 1)</f>
        <v>64.3</v>
      </c>
      <c r="E14" s="25">
        <f>_xll.StatQuartile(ST_Arkansas, 1)</f>
        <v>66.599999999999994</v>
      </c>
      <c r="F14" s="25">
        <f>_xll.StatQuartile(ST_California, 1)</f>
        <v>54.3</v>
      </c>
      <c r="G14" s="25">
        <f>_xll.StatQuartile(ST_Colorado, 1)</f>
        <v>62.9</v>
      </c>
      <c r="H14" s="25">
        <f>_xll.StatQuartile(ST_Connecticut, 1)</f>
        <v>67.375</v>
      </c>
      <c r="I14" s="25">
        <f>_xll.StatQuartile(ST_Delaware, 1)</f>
        <v>70.5</v>
      </c>
      <c r="J14" s="25">
        <f>_xll.StatQuartile(ST_DistofColumbia, 1)</f>
        <v>37.4</v>
      </c>
      <c r="K14" s="25">
        <f>_xll.StatQuartile(ST_Florida, 1)</f>
        <v>66.099999999999994</v>
      </c>
      <c r="L14" s="25">
        <f>_xll.StatQuartile(ST_Georgia, 1)</f>
        <v>64.3</v>
      </c>
      <c r="M14" s="25">
        <f>_xll.StatQuartile(ST_Hawaii, 1)</f>
        <v>52.3</v>
      </c>
      <c r="N14" s="25">
        <f>_xll.StatQuartile(ST_Idaho, 1)</f>
        <v>70.3</v>
      </c>
      <c r="O14" s="25">
        <f>_xll.StatQuartile(ST_Illinois, 1)</f>
        <v>62.4</v>
      </c>
      <c r="P14" s="25">
        <f>_xll.StatQuartile(ST_Indiana, 1)</f>
        <v>68.400000000000006</v>
      </c>
      <c r="Q14" s="25">
        <f>_xll.StatQuartile(ST_Iowa, 1)</f>
        <v>69.599999999999994</v>
      </c>
      <c r="R14" s="25">
        <f>_xll.StatQuartile(ST_Kansas, 1)</f>
        <v>67.375</v>
      </c>
      <c r="S14" s="25">
        <f>_xll.StatQuartile(ST_Kentucky, 1)</f>
        <v>68.099999999999994</v>
      </c>
      <c r="T14" s="25">
        <f>_xll.StatQuartile(ST_Louisiana, 1)</f>
        <v>66.599999999999994</v>
      </c>
      <c r="U14" s="25">
        <f>_xll.StatQuartile(ST_Maine, 1)</f>
        <v>73.5</v>
      </c>
      <c r="V14" s="25">
        <f>_xll.StatQuartile(ST_Maryland, 1)</f>
        <v>65.5</v>
      </c>
      <c r="W14" s="25">
        <f>_xll.StatQuartile(ST_Massachusetts, 1)</f>
        <v>60.3</v>
      </c>
      <c r="X14" s="25">
        <f>_xll.StatQuartile(ST_Michigan, 1)</f>
        <v>72.3</v>
      </c>
      <c r="Y14" s="25">
        <f>_xll.StatQuartile(ST_Minnesota, 1)</f>
        <v>68.900000000000006</v>
      </c>
      <c r="Z14" s="25">
        <f>_xll.StatQuartile(ST_Mississippi, 1)</f>
        <v>71.8</v>
      </c>
      <c r="AA14" s="25">
        <f>_xll.StatQuartile(ST_Missouri, 1)</f>
        <v>67.8</v>
      </c>
      <c r="AB14" s="25">
        <f>_xll.StatQuartile(ST_Montana, 1)</f>
        <v>67.45</v>
      </c>
      <c r="AC14" s="25">
        <f>_xll.StatQuartile(ST_Nebraska, 1)</f>
        <v>67.3</v>
      </c>
      <c r="AD14" s="25">
        <f>_xll.StatQuartile(ST_Nevada, 1)</f>
        <v>55.8</v>
      </c>
      <c r="AE14" s="25">
        <f>_xll.StatQuartile(ST_NewHampshire, 1)</f>
        <v>66.400000000000006</v>
      </c>
      <c r="AF14" s="25">
        <f>_xll.StatQuartile(ST_NewJersey, 1)</f>
        <v>64.5</v>
      </c>
      <c r="AG14" s="25">
        <f>_xll.StatQuartile(ST_NewMexico, 1)</f>
        <v>67.2</v>
      </c>
      <c r="AH14" s="25">
        <f>_xll.StatQuartile(ST_NewYork, 1)</f>
        <v>52.6</v>
      </c>
      <c r="AI14" s="25">
        <f>_xll.StatQuartile(ST_NorthCarolina, 1)</f>
        <v>68.400000000000006</v>
      </c>
      <c r="AJ14" s="25">
        <f>_xll.StatQuartile(ST_NorthDakota, 1)</f>
        <v>66.199999999999989</v>
      </c>
      <c r="AK14" s="25">
        <f>_xll.StatQuartile(ST_Ohio, 1)</f>
        <v>68.2</v>
      </c>
      <c r="AL14" s="25">
        <f>_xll.StatQuartile(ST_Oklahoma, 1)</f>
        <v>69.2</v>
      </c>
      <c r="AM14" s="25">
        <f>_xll.StatQuartile(ST_Oregon, 1)</f>
        <v>63.4</v>
      </c>
      <c r="AN14" s="25">
        <f>_xll.StatQuartile(ST_Pennsylvania, 1)</f>
        <v>71.7</v>
      </c>
      <c r="AO14" s="25">
        <f>_xll.StatQuartile(ST_RhodeIsland, 1)</f>
        <v>58.7</v>
      </c>
      <c r="AP14" s="25">
        <f>_xll.StatQuartile(ST_SouthCarolina, 1)</f>
        <v>71.525000000000006</v>
      </c>
      <c r="AQ14" s="25">
        <f>_xll.StatQuartile(ST_SouthDakota, 1)</f>
        <v>66.5</v>
      </c>
      <c r="AR14" s="25">
        <f>_xll.StatQuartile(ST_Tennessee, 1)</f>
        <v>67.3</v>
      </c>
      <c r="AS14" s="25">
        <f>_xll.StatQuartile(ST_Texas, 1)</f>
        <v>61</v>
      </c>
      <c r="AT14" s="25">
        <f>_xll.StatQuartile(ST_Utah, 1)</f>
        <v>70.2</v>
      </c>
      <c r="AU14" s="25">
        <f>_xll.StatQuartile(ST_Vermont, 1)</f>
        <v>69.400000000000006</v>
      </c>
      <c r="AV14" s="25">
        <f>_xll.StatQuartile(ST_Virginia, 1)</f>
        <v>68.400000000000006</v>
      </c>
      <c r="AW14" s="25">
        <f>_xll.StatQuartile(ST_Washington, 1)</f>
        <v>63.1</v>
      </c>
      <c r="AX14" s="25">
        <f>_xll.StatQuartile(ST_WestVirginia, 1)</f>
        <v>73.3</v>
      </c>
      <c r="AY14" s="25">
        <f>_xll.StatQuartile(ST_Wisconsin, 1)</f>
        <v>67.824999999999989</v>
      </c>
      <c r="AZ14" s="25">
        <f>_xll.StatQuartile(ST_Wyoming, 1)</f>
        <v>68.8</v>
      </c>
    </row>
    <row r="15" spans="1:52" ht="15" customHeight="1" x14ac:dyDescent="0.25">
      <c r="A15" s="21" t="s">
        <v>244</v>
      </c>
      <c r="B15" s="25">
        <f>_xll.StatQuartile(ST_Alabama, 3)</f>
        <v>73.7</v>
      </c>
      <c r="C15" s="25">
        <f>_xll.StatQuartile(ST_Alaska, 3)</f>
        <v>66.400000000000006</v>
      </c>
      <c r="D15" s="25">
        <f>_xll.StatQuartile(ST_Arizona, 3)</f>
        <v>68.7</v>
      </c>
      <c r="E15" s="25">
        <f>_xll.StatQuartile(ST_Arkansas, 3)</f>
        <v>69.2</v>
      </c>
      <c r="F15" s="25">
        <f>_xll.StatQuartile(ST_California, 3)</f>
        <v>57.5</v>
      </c>
      <c r="G15" s="25">
        <f>_xll.StatQuartile(ST_Colorado, 3)</f>
        <v>68.525000000000006</v>
      </c>
      <c r="H15" s="25">
        <f>_xll.StatQuartile(ST_Connecticut, 3)</f>
        <v>70.625</v>
      </c>
      <c r="I15" s="25">
        <f>_xll.StatQuartile(ST_Delaware, 3)</f>
        <v>75.599999999999994</v>
      </c>
      <c r="J15" s="25">
        <f>_xll.StatQuartile(ST_DistofColumbia, 3)</f>
        <v>44.825000000000003</v>
      </c>
      <c r="K15" s="25">
        <f>_xll.StatQuartile(ST_Florida, 3)</f>
        <v>69.224999999999994</v>
      </c>
      <c r="L15" s="25">
        <f>_xll.StatQuartile(ST_Georgia, 3)</f>
        <v>69.8</v>
      </c>
      <c r="M15" s="25">
        <f>_xll.StatQuartile(ST_Hawaii, 3)</f>
        <v>58.3</v>
      </c>
      <c r="N15" s="25">
        <f>_xll.StatQuartile(ST_Idaho, 3)</f>
        <v>73.025000000000006</v>
      </c>
      <c r="O15" s="25">
        <f>_xll.StatQuartile(ST_Illinois, 3)</f>
        <v>69.125</v>
      </c>
      <c r="P15" s="25">
        <f>_xll.StatQuartile(ST_Indiana, 3)</f>
        <v>74.2</v>
      </c>
      <c r="Q15" s="25">
        <f>_xll.StatQuartile(ST_Iowa, 3)</f>
        <v>73.7</v>
      </c>
      <c r="R15" s="25">
        <f>_xll.StatQuartile(ST_Kansas, 3)</f>
        <v>69.7</v>
      </c>
      <c r="S15" s="25">
        <f>_xll.StatQuartile(ST_Kentucky, 3)</f>
        <v>73.3</v>
      </c>
      <c r="T15" s="25">
        <f>_xll.StatQuartile(ST_Louisiana, 3)</f>
        <v>70.400000000000006</v>
      </c>
      <c r="U15" s="25">
        <f>_xll.StatQuartile(ST_Maine, 3)</f>
        <v>74.7</v>
      </c>
      <c r="V15" s="25">
        <f>_xll.StatQuartile(ST_Maryland, 3)</f>
        <v>70.599999999999994</v>
      </c>
      <c r="W15" s="25">
        <f>_xll.StatQuartile(ST_Massachusetts, 3)</f>
        <v>64.3</v>
      </c>
      <c r="X15" s="25">
        <f>_xll.StatQuartile(ST_Michigan, 3)</f>
        <v>76</v>
      </c>
      <c r="Y15" s="25">
        <f>_xll.StatQuartile(ST_Minnesota, 3)</f>
        <v>75.599999999999994</v>
      </c>
      <c r="Z15" s="25">
        <f>_xll.StatQuartile(ST_Mississippi, 3)</f>
        <v>74.900000000000006</v>
      </c>
      <c r="AA15" s="25">
        <f>_xll.StatQuartile(ST_Missouri, 3)</f>
        <v>72</v>
      </c>
      <c r="AB15" s="25">
        <f>_xll.StatQuartile(ST_Montana, 3)</f>
        <v>69.900000000000006</v>
      </c>
      <c r="AC15" s="25">
        <f>_xll.StatQuartile(ST_Nebraska, 3)</f>
        <v>69.900000000000006</v>
      </c>
      <c r="AD15" s="25">
        <f>_xll.StatQuartile(ST_Nevada, 3)</f>
        <v>63.6</v>
      </c>
      <c r="AE15" s="25">
        <f>_xll.StatQuartile(ST_NewHampshire, 3)</f>
        <v>74.125</v>
      </c>
      <c r="AF15" s="25">
        <f>_xll.StatQuartile(ST_NewJersey, 3)</f>
        <v>66.550000000000011</v>
      </c>
      <c r="AG15" s="25">
        <f>_xll.StatQuartile(ST_NewMexico, 3)</f>
        <v>70.8</v>
      </c>
      <c r="AH15" s="25">
        <f>_xll.StatQuartile(ST_NewYork, 3)</f>
        <v>54.375000000000007</v>
      </c>
      <c r="AI15" s="25">
        <f>_xll.StatQuartile(ST_NorthCarolina, 3)</f>
        <v>70.2</v>
      </c>
      <c r="AJ15" s="25">
        <f>_xll.StatQuartile(ST_NorthDakota, 3)</f>
        <v>69.2</v>
      </c>
      <c r="AK15" s="25">
        <f>_xll.StatQuartile(ST_Ohio, 3)</f>
        <v>71.2</v>
      </c>
      <c r="AL15" s="25">
        <f>_xll.StatQuartile(ST_Oklahoma, 3)</f>
        <v>71.099999999999994</v>
      </c>
      <c r="AM15" s="25">
        <f>_xll.StatQuartile(ST_Oregon, 3)</f>
        <v>66.2</v>
      </c>
      <c r="AN15" s="25">
        <f>_xll.StatQuartile(ST_Pennsylvania, 3)</f>
        <v>73.8</v>
      </c>
      <c r="AO15" s="25">
        <f>_xll.StatQuartile(ST_RhodeIsland, 3)</f>
        <v>62.2</v>
      </c>
      <c r="AP15" s="25">
        <f>_xll.StatQuartile(ST_SouthCarolina, 3)</f>
        <v>74.8</v>
      </c>
      <c r="AQ15" s="25">
        <f>_xll.StatQuartile(ST_SouthDakota, 3)</f>
        <v>70.400000000000006</v>
      </c>
      <c r="AR15" s="25">
        <f>_xll.StatQuartile(ST_Tennessee, 3)</f>
        <v>71.025000000000006</v>
      </c>
      <c r="AS15" s="25">
        <f>_xll.StatQuartile(ST_Texas, 3)</f>
        <v>64.5</v>
      </c>
      <c r="AT15" s="25">
        <f>_xll.StatQuartile(ST_Utah, 3)</f>
        <v>73.5</v>
      </c>
      <c r="AU15" s="25">
        <f>_xll.StatQuartile(ST_Vermont, 3)</f>
        <v>73.349999999999994</v>
      </c>
      <c r="AV15" s="25">
        <f>_xll.StatQuartile(ST_Virginia, 3)</f>
        <v>71.2</v>
      </c>
      <c r="AW15" s="25">
        <f>_xll.StatQuartile(ST_Washington, 3)</f>
        <v>66</v>
      </c>
      <c r="AX15" s="25">
        <f>_xll.StatQuartile(ST_WestVirginia, 3)</f>
        <v>77.8</v>
      </c>
      <c r="AY15" s="25">
        <f>_xll.StatQuartile(ST_Wisconsin, 3)</f>
        <v>70.900000000000006</v>
      </c>
      <c r="AZ15" s="25">
        <f>_xll.StatQuartile(ST_Wyoming, 3)</f>
        <v>73</v>
      </c>
    </row>
    <row r="16" spans="1:52" ht="15" customHeight="1" x14ac:dyDescent="0.25">
      <c r="A16" s="21" t="s">
        <v>405</v>
      </c>
      <c r="B16" s="25">
        <f>B13-B12</f>
        <v>11.5</v>
      </c>
      <c r="C16" s="25">
        <f t="shared" ref="C16:AZ16" si="0">C13-C12</f>
        <v>14.600000000000001</v>
      </c>
      <c r="D16" s="25">
        <f t="shared" si="0"/>
        <v>9.5999999999999943</v>
      </c>
      <c r="E16" s="25">
        <f t="shared" si="0"/>
        <v>5.8250000000000028</v>
      </c>
      <c r="F16" s="25">
        <f t="shared" si="0"/>
        <v>6.6000000000000014</v>
      </c>
      <c r="G16" s="25">
        <f t="shared" si="0"/>
        <v>12.699999999999996</v>
      </c>
      <c r="H16" s="25">
        <f t="shared" si="0"/>
        <v>9.2000000000000028</v>
      </c>
      <c r="I16" s="25">
        <f t="shared" si="0"/>
        <v>9.5999999999999943</v>
      </c>
      <c r="J16" s="25">
        <f t="shared" si="0"/>
        <v>12.600000000000001</v>
      </c>
      <c r="K16" s="25">
        <f t="shared" si="0"/>
        <v>8</v>
      </c>
      <c r="L16" s="25">
        <f t="shared" si="0"/>
        <v>9.3999999999999986</v>
      </c>
      <c r="M16" s="25">
        <f t="shared" si="0"/>
        <v>10.399999999999999</v>
      </c>
      <c r="N16" s="25">
        <f t="shared" si="0"/>
        <v>7.0249999999999915</v>
      </c>
      <c r="O16" s="25">
        <f t="shared" si="0"/>
        <v>12.100000000000001</v>
      </c>
      <c r="P16" s="25">
        <f t="shared" si="0"/>
        <v>9.7000000000000028</v>
      </c>
      <c r="Q16" s="25">
        <f t="shared" si="0"/>
        <v>10.299999999999997</v>
      </c>
      <c r="R16" s="25">
        <f t="shared" si="0"/>
        <v>9.5000000000000071</v>
      </c>
      <c r="S16" s="25">
        <f t="shared" si="0"/>
        <v>10.199999999999989</v>
      </c>
      <c r="T16" s="25">
        <f t="shared" si="0"/>
        <v>8.5999999999999943</v>
      </c>
      <c r="U16" s="25">
        <f t="shared" si="0"/>
        <v>6.3750000000000142</v>
      </c>
      <c r="V16" s="25">
        <f t="shared" si="0"/>
        <v>9.8999999999999915</v>
      </c>
      <c r="W16" s="25">
        <f t="shared" si="0"/>
        <v>7.2250000000000014</v>
      </c>
      <c r="X16" s="25">
        <f t="shared" si="0"/>
        <v>6.8000000000000114</v>
      </c>
      <c r="Y16" s="25">
        <f t="shared" si="0"/>
        <v>11.5</v>
      </c>
      <c r="Z16" s="25">
        <f t="shared" si="0"/>
        <v>9.5999999999999943</v>
      </c>
      <c r="AA16" s="25">
        <f t="shared" si="0"/>
        <v>11.099999999999994</v>
      </c>
      <c r="AB16" s="25">
        <f t="shared" si="0"/>
        <v>8</v>
      </c>
      <c r="AC16" s="25">
        <f t="shared" si="0"/>
        <v>4.6000000000000085</v>
      </c>
      <c r="AD16" s="25">
        <f t="shared" si="0"/>
        <v>11.600000000000001</v>
      </c>
      <c r="AE16" s="25">
        <f t="shared" si="0"/>
        <v>11.225000000000009</v>
      </c>
      <c r="AF16" s="25">
        <f t="shared" si="0"/>
        <v>7.7999999999999972</v>
      </c>
      <c r="AG16" s="25">
        <f t="shared" si="0"/>
        <v>8.2999999999999972</v>
      </c>
      <c r="AH16" s="25">
        <f t="shared" si="0"/>
        <v>5.6000000000000014</v>
      </c>
      <c r="AI16" s="25">
        <f t="shared" si="0"/>
        <v>5.2749999999999915</v>
      </c>
      <c r="AJ16" s="25">
        <f t="shared" si="0"/>
        <v>8.2999999999999972</v>
      </c>
      <c r="AK16" s="25">
        <f t="shared" si="0"/>
        <v>5.9249999999999972</v>
      </c>
      <c r="AL16" s="25">
        <f t="shared" si="0"/>
        <v>4.5</v>
      </c>
      <c r="AM16" s="25">
        <f t="shared" si="0"/>
        <v>8</v>
      </c>
      <c r="AN16" s="25">
        <f t="shared" si="0"/>
        <v>5.5249999999999915</v>
      </c>
      <c r="AO16" s="25">
        <f t="shared" si="0"/>
        <v>8.4000000000000057</v>
      </c>
      <c r="AP16" s="25">
        <f t="shared" si="0"/>
        <v>8.4000000000000057</v>
      </c>
      <c r="AQ16" s="25">
        <f t="shared" si="0"/>
        <v>5.9000000000000057</v>
      </c>
      <c r="AR16" s="25">
        <f t="shared" si="0"/>
        <v>8.3000000000000114</v>
      </c>
      <c r="AS16" s="25">
        <f t="shared" si="0"/>
        <v>7.7000000000000028</v>
      </c>
      <c r="AT16" s="25">
        <f t="shared" si="0"/>
        <v>8.2000000000000028</v>
      </c>
      <c r="AU16" s="25">
        <f t="shared" si="0"/>
        <v>7.6999999999999886</v>
      </c>
      <c r="AV16" s="25">
        <f t="shared" si="0"/>
        <v>7.2999999999999972</v>
      </c>
      <c r="AW16" s="25">
        <f t="shared" si="0"/>
        <v>5.9999999999999929</v>
      </c>
      <c r="AX16" s="25">
        <f t="shared" si="0"/>
        <v>9.2999999999999972</v>
      </c>
      <c r="AY16" s="25">
        <f t="shared" si="0"/>
        <v>9.5</v>
      </c>
      <c r="AZ16" s="25">
        <f t="shared" si="0"/>
        <v>7.9750000000000085</v>
      </c>
    </row>
    <row r="17" ht="15" customHeight="1" x14ac:dyDescent="0.25"/>
    <row r="18" ht="15" customHeight="1" x14ac:dyDescent="0.25"/>
  </sheetData>
  <pageMargins left="0.7" right="0.7" top="0.75" bottom="0.75" header="0.3" footer="0.3"/>
  <pageSetup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7"/>
  <sheetViews>
    <sheetView workbookViewId="0"/>
  </sheetViews>
  <sheetFormatPr defaultColWidth="30.7109375" defaultRowHeight="15" x14ac:dyDescent="0.25"/>
  <cols>
    <col min="1" max="1" width="30.7109375" style="13"/>
    <col min="2" max="16384" width="30.7109375" style="12"/>
  </cols>
  <sheetData>
    <row r="1" spans="1:20" x14ac:dyDescent="0.25">
      <c r="A1" s="13" t="s">
        <v>61</v>
      </c>
      <c r="B1" s="12" t="s">
        <v>246</v>
      </c>
      <c r="C1" s="12" t="s">
        <v>52</v>
      </c>
      <c r="D1" s="12">
        <v>7</v>
      </c>
      <c r="E1" s="12" t="s">
        <v>53</v>
      </c>
      <c r="F1" s="12">
        <v>0</v>
      </c>
      <c r="G1" s="12" t="s">
        <v>54</v>
      </c>
      <c r="H1" s="12">
        <v>0</v>
      </c>
      <c r="I1" s="12" t="s">
        <v>55</v>
      </c>
      <c r="J1" s="12">
        <v>1</v>
      </c>
      <c r="K1" s="12" t="s">
        <v>56</v>
      </c>
      <c r="L1" s="12">
        <v>0</v>
      </c>
      <c r="M1" s="12" t="s">
        <v>57</v>
      </c>
      <c r="N1" s="12">
        <v>0</v>
      </c>
      <c r="O1" s="12" t="s">
        <v>58</v>
      </c>
      <c r="P1" s="12">
        <v>1</v>
      </c>
      <c r="Q1" s="12" t="s">
        <v>59</v>
      </c>
      <c r="R1" s="12">
        <v>0</v>
      </c>
      <c r="S1" s="12" t="s">
        <v>60</v>
      </c>
      <c r="T1" s="12">
        <v>0</v>
      </c>
    </row>
    <row r="2" spans="1:20" x14ac:dyDescent="0.25">
      <c r="A2" s="13" t="s">
        <v>63</v>
      </c>
      <c r="B2" s="12" t="s">
        <v>247</v>
      </c>
    </row>
    <row r="3" spans="1:20" x14ac:dyDescent="0.25">
      <c r="A3" s="13" t="s">
        <v>65</v>
      </c>
      <c r="B3" s="12" t="b">
        <f>IF(B10&gt;256,"TripUpST110AndEarlier",FALSE)</f>
        <v>0</v>
      </c>
    </row>
    <row r="4" spans="1:20" x14ac:dyDescent="0.25">
      <c r="A4" s="13" t="s">
        <v>66</v>
      </c>
      <c r="B4" s="12" t="s">
        <v>248</v>
      </c>
    </row>
    <row r="5" spans="1:20" x14ac:dyDescent="0.25">
      <c r="A5" s="13" t="s">
        <v>68</v>
      </c>
      <c r="B5" s="12" t="b">
        <v>1</v>
      </c>
    </row>
    <row r="6" spans="1:20" x14ac:dyDescent="0.25">
      <c r="A6" s="13" t="s">
        <v>69</v>
      </c>
      <c r="B6" s="12" t="b">
        <v>1</v>
      </c>
    </row>
    <row r="7" spans="1:20" x14ac:dyDescent="0.25">
      <c r="A7" s="13" t="s">
        <v>70</v>
      </c>
      <c r="B7" s="12">
        <f>'Data 2'!$A$1:$AF$52</f>
        <v>64.7</v>
      </c>
    </row>
    <row r="8" spans="1:20" x14ac:dyDescent="0.25">
      <c r="A8" s="13" t="s">
        <v>71</v>
      </c>
      <c r="B8" s="12">
        <v>2</v>
      </c>
    </row>
    <row r="9" spans="1:20" x14ac:dyDescent="0.25">
      <c r="A9" s="13" t="s">
        <v>72</v>
      </c>
      <c r="B9" s="12">
        <f>1</f>
        <v>1</v>
      </c>
    </row>
    <row r="10" spans="1:20" x14ac:dyDescent="0.25">
      <c r="A10" s="13" t="s">
        <v>73</v>
      </c>
      <c r="B10" s="12">
        <v>52</v>
      </c>
    </row>
    <row r="12" spans="1:20" x14ac:dyDescent="0.25">
      <c r="A12" s="13" t="s">
        <v>74</v>
      </c>
      <c r="B12" s="12" t="s">
        <v>451</v>
      </c>
      <c r="C12" s="12" t="s">
        <v>75</v>
      </c>
      <c r="D12" s="12" t="s">
        <v>249</v>
      </c>
      <c r="E12" s="12" t="b">
        <v>1</v>
      </c>
      <c r="F12" s="12">
        <v>0</v>
      </c>
      <c r="G12" s="12">
        <v>4</v>
      </c>
      <c r="H12" s="12">
        <v>0</v>
      </c>
    </row>
    <row r="13" spans="1:20" x14ac:dyDescent="0.25">
      <c r="A13" s="13" t="s">
        <v>77</v>
      </c>
      <c r="B13" s="12">
        <f>'Data 2'!$A$1:$AF$1</f>
        <v>1984</v>
      </c>
    </row>
    <row r="14" spans="1:20" x14ac:dyDescent="0.25">
      <c r="A14" s="13" t="s">
        <v>78</v>
      </c>
    </row>
    <row r="15" spans="1:20" x14ac:dyDescent="0.25">
      <c r="A15" s="13" t="s">
        <v>79</v>
      </c>
      <c r="B15" s="12" t="s">
        <v>452</v>
      </c>
      <c r="C15" s="12" t="s">
        <v>80</v>
      </c>
      <c r="D15" s="12" t="s">
        <v>250</v>
      </c>
      <c r="E15" s="12" t="b">
        <v>1</v>
      </c>
      <c r="F15" s="12">
        <v>0</v>
      </c>
      <c r="G15" s="12">
        <v>4</v>
      </c>
      <c r="H15" s="12">
        <v>0</v>
      </c>
    </row>
    <row r="16" spans="1:20" x14ac:dyDescent="0.25">
      <c r="A16" s="13" t="s">
        <v>82</v>
      </c>
      <c r="B16" s="12">
        <f>'Data 2'!$A$2:$AF$2</f>
        <v>73.7</v>
      </c>
    </row>
    <row r="17" spans="1:8" x14ac:dyDescent="0.25">
      <c r="A17" s="13" t="s">
        <v>83</v>
      </c>
    </row>
    <row r="18" spans="1:8" x14ac:dyDescent="0.25">
      <c r="A18" s="13" t="s">
        <v>84</v>
      </c>
      <c r="B18" s="12" t="s">
        <v>453</v>
      </c>
      <c r="C18" s="12" t="s">
        <v>85</v>
      </c>
      <c r="D18" s="12" t="s">
        <v>251</v>
      </c>
      <c r="E18" s="12" t="b">
        <v>1</v>
      </c>
      <c r="F18" s="12">
        <v>0</v>
      </c>
      <c r="G18" s="12">
        <v>4</v>
      </c>
      <c r="H18" s="12">
        <v>0</v>
      </c>
    </row>
    <row r="19" spans="1:8" x14ac:dyDescent="0.25">
      <c r="A19" s="13" t="s">
        <v>87</v>
      </c>
      <c r="B19" s="12">
        <f>'Data 2'!$A$3:$AF$3</f>
        <v>57.6</v>
      </c>
    </row>
    <row r="20" spans="1:8" x14ac:dyDescent="0.25">
      <c r="A20" s="13" t="s">
        <v>88</v>
      </c>
    </row>
    <row r="21" spans="1:8" x14ac:dyDescent="0.25">
      <c r="A21" s="13" t="s">
        <v>89</v>
      </c>
      <c r="B21" s="12" t="s">
        <v>454</v>
      </c>
      <c r="C21" s="12" t="s">
        <v>90</v>
      </c>
      <c r="D21" s="12" t="s">
        <v>252</v>
      </c>
      <c r="E21" s="12" t="b">
        <v>1</v>
      </c>
      <c r="F21" s="12">
        <v>0</v>
      </c>
      <c r="G21" s="12">
        <v>4</v>
      </c>
      <c r="H21" s="12">
        <v>0</v>
      </c>
    </row>
    <row r="22" spans="1:8" x14ac:dyDescent="0.25">
      <c r="A22" s="13" t="s">
        <v>92</v>
      </c>
      <c r="B22" s="12">
        <f>'Data 2'!$A$4:$AF$4</f>
        <v>65.2</v>
      </c>
    </row>
    <row r="23" spans="1:8" x14ac:dyDescent="0.25">
      <c r="A23" s="13" t="s">
        <v>93</v>
      </c>
    </row>
    <row r="24" spans="1:8" x14ac:dyDescent="0.25">
      <c r="A24" s="13" t="s">
        <v>94</v>
      </c>
      <c r="B24" s="12" t="s">
        <v>455</v>
      </c>
      <c r="C24" s="12" t="s">
        <v>95</v>
      </c>
      <c r="D24" s="12" t="s">
        <v>253</v>
      </c>
      <c r="E24" s="12" t="b">
        <v>1</v>
      </c>
      <c r="F24" s="12">
        <v>0</v>
      </c>
      <c r="G24" s="12">
        <v>4</v>
      </c>
      <c r="H24" s="12">
        <v>0</v>
      </c>
    </row>
    <row r="25" spans="1:8" x14ac:dyDescent="0.25">
      <c r="A25" s="13" t="s">
        <v>97</v>
      </c>
      <c r="B25" s="12">
        <f>'Data 2'!$A$5:$AF$5</f>
        <v>65.900000000000006</v>
      </c>
    </row>
    <row r="26" spans="1:8" x14ac:dyDescent="0.25">
      <c r="A26" s="13" t="s">
        <v>98</v>
      </c>
    </row>
    <row r="27" spans="1:8" x14ac:dyDescent="0.25">
      <c r="A27" s="13" t="s">
        <v>99</v>
      </c>
      <c r="B27" s="12" t="s">
        <v>456</v>
      </c>
      <c r="C27" s="12" t="s">
        <v>100</v>
      </c>
      <c r="D27" s="12" t="s">
        <v>254</v>
      </c>
      <c r="E27" s="12" t="b">
        <v>1</v>
      </c>
      <c r="F27" s="12">
        <v>0</v>
      </c>
      <c r="G27" s="12">
        <v>4</v>
      </c>
      <c r="H27" s="12">
        <v>0</v>
      </c>
    </row>
    <row r="28" spans="1:8" x14ac:dyDescent="0.25">
      <c r="A28" s="13" t="s">
        <v>102</v>
      </c>
      <c r="B28" s="12">
        <f>'Data 2'!$A$6:$AF$6</f>
        <v>53.7</v>
      </c>
    </row>
    <row r="29" spans="1:8" x14ac:dyDescent="0.25">
      <c r="A29" s="13" t="s">
        <v>103</v>
      </c>
    </row>
    <row r="30" spans="1:8" x14ac:dyDescent="0.25">
      <c r="A30" s="13" t="s">
        <v>104</v>
      </c>
      <c r="B30" s="12" t="s">
        <v>457</v>
      </c>
      <c r="C30" s="12" t="s">
        <v>105</v>
      </c>
      <c r="D30" s="12" t="s">
        <v>255</v>
      </c>
      <c r="E30" s="12" t="b">
        <v>1</v>
      </c>
      <c r="F30" s="12">
        <v>0</v>
      </c>
      <c r="G30" s="12">
        <v>4</v>
      </c>
      <c r="H30" s="12">
        <v>0</v>
      </c>
    </row>
    <row r="31" spans="1:8" x14ac:dyDescent="0.25">
      <c r="A31" s="13" t="s">
        <v>107</v>
      </c>
      <c r="B31" s="12">
        <f>'Data 2'!$A$7:$AF$7</f>
        <v>64.7</v>
      </c>
    </row>
    <row r="32" spans="1:8" x14ac:dyDescent="0.25">
      <c r="A32" s="13" t="s">
        <v>108</v>
      </c>
    </row>
    <row r="33" spans="1:8" x14ac:dyDescent="0.25">
      <c r="A33" s="13" t="s">
        <v>109</v>
      </c>
      <c r="B33" s="12" t="s">
        <v>458</v>
      </c>
      <c r="C33" s="12" t="s">
        <v>110</v>
      </c>
      <c r="D33" s="12" t="s">
        <v>256</v>
      </c>
      <c r="E33" s="12" t="b">
        <v>1</v>
      </c>
      <c r="F33" s="12">
        <v>0</v>
      </c>
      <c r="G33" s="12">
        <v>4</v>
      </c>
      <c r="H33" s="12">
        <v>0</v>
      </c>
    </row>
    <row r="34" spans="1:8" x14ac:dyDescent="0.25">
      <c r="A34" s="13" t="s">
        <v>112</v>
      </c>
      <c r="B34" s="12">
        <f>'Data 2'!$A$8:$AF$8</f>
        <v>67.8</v>
      </c>
    </row>
    <row r="35" spans="1:8" x14ac:dyDescent="0.25">
      <c r="A35" s="13" t="s">
        <v>113</v>
      </c>
    </row>
    <row r="36" spans="1:8" x14ac:dyDescent="0.25">
      <c r="A36" s="13" t="s">
        <v>114</v>
      </c>
      <c r="B36" s="12" t="s">
        <v>459</v>
      </c>
      <c r="C36" s="12" t="s">
        <v>115</v>
      </c>
      <c r="D36" s="12" t="s">
        <v>257</v>
      </c>
      <c r="E36" s="12" t="b">
        <v>1</v>
      </c>
      <c r="F36" s="12">
        <v>0</v>
      </c>
      <c r="G36" s="12">
        <v>4</v>
      </c>
      <c r="H36" s="12">
        <v>0</v>
      </c>
    </row>
    <row r="37" spans="1:8" x14ac:dyDescent="0.25">
      <c r="A37" s="13" t="s">
        <v>117</v>
      </c>
      <c r="B37" s="12">
        <f>'Data 2'!$A$9:$AF$9</f>
        <v>70.400000000000006</v>
      </c>
    </row>
    <row r="38" spans="1:8" x14ac:dyDescent="0.25">
      <c r="A38" s="13" t="s">
        <v>118</v>
      </c>
    </row>
    <row r="39" spans="1:8" x14ac:dyDescent="0.25">
      <c r="A39" s="13" t="s">
        <v>119</v>
      </c>
      <c r="B39" s="12" t="s">
        <v>460</v>
      </c>
      <c r="C39" s="12" t="s">
        <v>120</v>
      </c>
      <c r="D39" s="12" t="s">
        <v>258</v>
      </c>
      <c r="E39" s="12" t="b">
        <v>1</v>
      </c>
      <c r="F39" s="12">
        <v>0</v>
      </c>
      <c r="G39" s="12">
        <v>4</v>
      </c>
      <c r="H39" s="12">
        <v>0</v>
      </c>
    </row>
    <row r="40" spans="1:8" x14ac:dyDescent="0.25">
      <c r="A40" s="13" t="s">
        <v>122</v>
      </c>
      <c r="B40" s="12">
        <f>'Data 2'!$A$10:$AF$10</f>
        <v>37.299999999999997</v>
      </c>
    </row>
    <row r="41" spans="1:8" x14ac:dyDescent="0.25">
      <c r="A41" s="13" t="s">
        <v>123</v>
      </c>
    </row>
    <row r="42" spans="1:8" x14ac:dyDescent="0.25">
      <c r="A42" s="13" t="s">
        <v>124</v>
      </c>
      <c r="B42" s="12" t="s">
        <v>461</v>
      </c>
      <c r="C42" s="12" t="s">
        <v>125</v>
      </c>
      <c r="D42" s="12" t="s">
        <v>259</v>
      </c>
      <c r="E42" s="12" t="b">
        <v>1</v>
      </c>
      <c r="F42" s="12">
        <v>0</v>
      </c>
      <c r="G42" s="12">
        <v>4</v>
      </c>
      <c r="H42" s="12">
        <v>0</v>
      </c>
    </row>
    <row r="43" spans="1:8" x14ac:dyDescent="0.25">
      <c r="A43" s="13" t="s">
        <v>127</v>
      </c>
      <c r="B43" s="12">
        <f>'Data 2'!$A$11:$AF$11</f>
        <v>66.5</v>
      </c>
    </row>
    <row r="44" spans="1:8" x14ac:dyDescent="0.25">
      <c r="A44" s="13" t="s">
        <v>128</v>
      </c>
    </row>
    <row r="45" spans="1:8" x14ac:dyDescent="0.25">
      <c r="A45" s="13" t="s">
        <v>129</v>
      </c>
      <c r="B45" s="12" t="s">
        <v>462</v>
      </c>
      <c r="C45" s="12" t="s">
        <v>130</v>
      </c>
      <c r="D45" s="12" t="s">
        <v>260</v>
      </c>
      <c r="E45" s="12" t="b">
        <v>1</v>
      </c>
      <c r="F45" s="12">
        <v>0</v>
      </c>
      <c r="G45" s="12">
        <v>4</v>
      </c>
      <c r="H45" s="12">
        <v>0</v>
      </c>
    </row>
    <row r="46" spans="1:8" x14ac:dyDescent="0.25">
      <c r="A46" s="13" t="s">
        <v>132</v>
      </c>
      <c r="B46" s="12">
        <f>'Data 2'!$A$12:$AF$12</f>
        <v>63.6</v>
      </c>
    </row>
    <row r="47" spans="1:8" x14ac:dyDescent="0.25">
      <c r="A47" s="13" t="s">
        <v>133</v>
      </c>
    </row>
    <row r="48" spans="1:8" x14ac:dyDescent="0.25">
      <c r="A48" s="13" t="s">
        <v>134</v>
      </c>
      <c r="B48" s="12" t="s">
        <v>463</v>
      </c>
      <c r="C48" s="12" t="s">
        <v>135</v>
      </c>
      <c r="D48" s="12" t="s">
        <v>261</v>
      </c>
      <c r="E48" s="12" t="b">
        <v>1</v>
      </c>
      <c r="F48" s="12">
        <v>0</v>
      </c>
      <c r="G48" s="12">
        <v>4</v>
      </c>
      <c r="H48" s="12">
        <v>0</v>
      </c>
    </row>
    <row r="49" spans="1:8" x14ac:dyDescent="0.25">
      <c r="A49" s="13" t="s">
        <v>137</v>
      </c>
      <c r="B49" s="12">
        <f>'Data 2'!$A$13:$AF$13</f>
        <v>50.7</v>
      </c>
    </row>
    <row r="50" spans="1:8" x14ac:dyDescent="0.25">
      <c r="A50" s="13" t="s">
        <v>138</v>
      </c>
    </row>
    <row r="51" spans="1:8" x14ac:dyDescent="0.25">
      <c r="A51" s="13" t="s">
        <v>139</v>
      </c>
      <c r="B51" s="12" t="s">
        <v>464</v>
      </c>
      <c r="C51" s="12" t="s">
        <v>140</v>
      </c>
      <c r="D51" s="12" t="s">
        <v>262</v>
      </c>
      <c r="E51" s="12" t="b">
        <v>1</v>
      </c>
      <c r="F51" s="12">
        <v>0</v>
      </c>
      <c r="G51" s="12">
        <v>4</v>
      </c>
      <c r="H51" s="12">
        <v>0</v>
      </c>
    </row>
    <row r="52" spans="1:8" x14ac:dyDescent="0.25">
      <c r="A52" s="13" t="s">
        <v>142</v>
      </c>
      <c r="B52" s="12">
        <f>'Data 2'!$A$14:$AF$14</f>
        <v>69.7</v>
      </c>
    </row>
    <row r="53" spans="1:8" x14ac:dyDescent="0.25">
      <c r="A53" s="13" t="s">
        <v>143</v>
      </c>
    </row>
    <row r="54" spans="1:8" x14ac:dyDescent="0.25">
      <c r="A54" s="13" t="s">
        <v>144</v>
      </c>
      <c r="B54" s="12" t="s">
        <v>465</v>
      </c>
      <c r="C54" s="12" t="s">
        <v>145</v>
      </c>
      <c r="D54" s="12" t="s">
        <v>263</v>
      </c>
      <c r="E54" s="12" t="b">
        <v>1</v>
      </c>
      <c r="F54" s="12">
        <v>0</v>
      </c>
      <c r="G54" s="12">
        <v>4</v>
      </c>
      <c r="H54" s="12">
        <v>0</v>
      </c>
    </row>
    <row r="55" spans="1:8" x14ac:dyDescent="0.25">
      <c r="A55" s="13" t="s">
        <v>147</v>
      </c>
      <c r="B55" s="12">
        <f>'Data 2'!$A$15:$AF$15</f>
        <v>62.4</v>
      </c>
    </row>
    <row r="56" spans="1:8" x14ac:dyDescent="0.25">
      <c r="A56" s="13" t="s">
        <v>148</v>
      </c>
    </row>
    <row r="57" spans="1:8" x14ac:dyDescent="0.25">
      <c r="A57" s="13" t="s">
        <v>149</v>
      </c>
      <c r="B57" s="12" t="s">
        <v>466</v>
      </c>
      <c r="C57" s="12" t="s">
        <v>150</v>
      </c>
      <c r="D57" s="12" t="s">
        <v>264</v>
      </c>
      <c r="E57" s="12" t="b">
        <v>1</v>
      </c>
      <c r="F57" s="12">
        <v>0</v>
      </c>
      <c r="G57" s="12">
        <v>4</v>
      </c>
      <c r="H57" s="12">
        <v>0</v>
      </c>
    </row>
    <row r="58" spans="1:8" x14ac:dyDescent="0.25">
      <c r="A58" s="13" t="s">
        <v>152</v>
      </c>
      <c r="B58" s="12">
        <f>'Data 2'!$A$16:$AF$16</f>
        <v>69.900000000000006</v>
      </c>
    </row>
    <row r="59" spans="1:8" x14ac:dyDescent="0.25">
      <c r="A59" s="13" t="s">
        <v>153</v>
      </c>
    </row>
    <row r="60" spans="1:8" x14ac:dyDescent="0.25">
      <c r="A60" s="13" t="s">
        <v>154</v>
      </c>
      <c r="B60" s="12" t="s">
        <v>467</v>
      </c>
      <c r="C60" s="12" t="s">
        <v>155</v>
      </c>
      <c r="D60" s="12" t="s">
        <v>265</v>
      </c>
      <c r="E60" s="12" t="b">
        <v>1</v>
      </c>
      <c r="F60" s="12">
        <v>0</v>
      </c>
      <c r="G60" s="12">
        <v>4</v>
      </c>
      <c r="H60" s="12">
        <v>0</v>
      </c>
    </row>
    <row r="61" spans="1:8" x14ac:dyDescent="0.25">
      <c r="A61" s="13" t="s">
        <v>157</v>
      </c>
      <c r="B61" s="12">
        <f>'Data 2'!$A$17:$AF$17</f>
        <v>71.3</v>
      </c>
    </row>
    <row r="62" spans="1:8" x14ac:dyDescent="0.25">
      <c r="A62" s="13" t="s">
        <v>158</v>
      </c>
    </row>
    <row r="63" spans="1:8" x14ac:dyDescent="0.25">
      <c r="A63" s="13" t="s">
        <v>159</v>
      </c>
      <c r="B63" s="12" t="s">
        <v>468</v>
      </c>
      <c r="C63" s="12" t="s">
        <v>160</v>
      </c>
      <c r="D63" s="12" t="s">
        <v>266</v>
      </c>
      <c r="E63" s="12" t="b">
        <v>1</v>
      </c>
      <c r="F63" s="12">
        <v>0</v>
      </c>
      <c r="G63" s="12">
        <v>4</v>
      </c>
      <c r="H63" s="12">
        <v>0</v>
      </c>
    </row>
    <row r="64" spans="1:8" x14ac:dyDescent="0.25">
      <c r="A64" s="13" t="s">
        <v>162</v>
      </c>
      <c r="B64" s="12">
        <f>'Data 2'!$A$18:$AF$18</f>
        <v>72.7</v>
      </c>
    </row>
    <row r="65" spans="1:8" x14ac:dyDescent="0.25">
      <c r="A65" s="13" t="s">
        <v>163</v>
      </c>
    </row>
    <row r="66" spans="1:8" x14ac:dyDescent="0.25">
      <c r="A66" s="13" t="s">
        <v>164</v>
      </c>
      <c r="B66" s="12" t="s">
        <v>469</v>
      </c>
      <c r="C66" s="12" t="s">
        <v>165</v>
      </c>
      <c r="D66" s="12" t="s">
        <v>267</v>
      </c>
      <c r="E66" s="12" t="b">
        <v>1</v>
      </c>
      <c r="F66" s="12">
        <v>0</v>
      </c>
      <c r="G66" s="12">
        <v>4</v>
      </c>
      <c r="H66" s="12">
        <v>0</v>
      </c>
    </row>
    <row r="67" spans="1:8" x14ac:dyDescent="0.25">
      <c r="A67" s="13" t="s">
        <v>167</v>
      </c>
      <c r="B67" s="12">
        <f>'Data 2'!$A$19:$AF$19</f>
        <v>70.2</v>
      </c>
    </row>
    <row r="68" spans="1:8" x14ac:dyDescent="0.25">
      <c r="A68" s="13" t="s">
        <v>168</v>
      </c>
    </row>
    <row r="69" spans="1:8" x14ac:dyDescent="0.25">
      <c r="A69" s="13" t="s">
        <v>169</v>
      </c>
      <c r="B69" s="12" t="s">
        <v>470</v>
      </c>
      <c r="C69" s="12" t="s">
        <v>170</v>
      </c>
      <c r="D69" s="12" t="s">
        <v>268</v>
      </c>
      <c r="E69" s="12" t="b">
        <v>1</v>
      </c>
      <c r="F69" s="12">
        <v>0</v>
      </c>
      <c r="G69" s="12">
        <v>4</v>
      </c>
      <c r="H69" s="12">
        <v>0</v>
      </c>
    </row>
    <row r="70" spans="1:8" x14ac:dyDescent="0.25">
      <c r="A70" s="13" t="s">
        <v>172</v>
      </c>
      <c r="B70" s="12">
        <f>'Data 2'!$A$20:$AF$20</f>
        <v>70.099999999999994</v>
      </c>
    </row>
    <row r="71" spans="1:8" x14ac:dyDescent="0.25">
      <c r="A71" s="13" t="s">
        <v>173</v>
      </c>
    </row>
    <row r="72" spans="1:8" x14ac:dyDescent="0.25">
      <c r="A72" s="13" t="s">
        <v>174</v>
      </c>
      <c r="B72" s="12" t="s">
        <v>471</v>
      </c>
      <c r="C72" s="12" t="s">
        <v>175</v>
      </c>
      <c r="D72" s="12" t="s">
        <v>269</v>
      </c>
      <c r="E72" s="12" t="b">
        <v>1</v>
      </c>
      <c r="F72" s="12">
        <v>0</v>
      </c>
      <c r="G72" s="12">
        <v>4</v>
      </c>
      <c r="H72" s="12">
        <v>0</v>
      </c>
    </row>
    <row r="73" spans="1:8" x14ac:dyDescent="0.25">
      <c r="A73" s="13" t="s">
        <v>177</v>
      </c>
      <c r="B73" s="12">
        <f>'Data 2'!$A$21:$AF$21</f>
        <v>74.099999999999994</v>
      </c>
    </row>
    <row r="74" spans="1:8" x14ac:dyDescent="0.25">
      <c r="A74" s="13" t="s">
        <v>178</v>
      </c>
    </row>
    <row r="75" spans="1:8" x14ac:dyDescent="0.25">
      <c r="A75" s="13" t="s">
        <v>179</v>
      </c>
      <c r="B75" s="12" t="s">
        <v>472</v>
      </c>
      <c r="C75" s="12" t="s">
        <v>180</v>
      </c>
      <c r="D75" s="12" t="s">
        <v>270</v>
      </c>
      <c r="E75" s="12" t="b">
        <v>1</v>
      </c>
      <c r="F75" s="12">
        <v>0</v>
      </c>
      <c r="G75" s="12">
        <v>4</v>
      </c>
      <c r="H75" s="12">
        <v>0</v>
      </c>
    </row>
    <row r="76" spans="1:8" x14ac:dyDescent="0.25">
      <c r="A76" s="13" t="s">
        <v>182</v>
      </c>
      <c r="B76" s="12">
        <f>'Data 2'!$A$22:$AF$22</f>
        <v>67.8</v>
      </c>
    </row>
    <row r="77" spans="1:8" x14ac:dyDescent="0.25">
      <c r="A77" s="13" t="s">
        <v>183</v>
      </c>
    </row>
    <row r="78" spans="1:8" x14ac:dyDescent="0.25">
      <c r="A78" s="13" t="s">
        <v>184</v>
      </c>
      <c r="B78" s="12" t="s">
        <v>473</v>
      </c>
      <c r="C78" s="12" t="s">
        <v>185</v>
      </c>
      <c r="D78" s="12" t="s">
        <v>271</v>
      </c>
      <c r="E78" s="12" t="b">
        <v>1</v>
      </c>
      <c r="F78" s="12">
        <v>0</v>
      </c>
      <c r="G78" s="12">
        <v>4</v>
      </c>
      <c r="H78" s="12">
        <v>0</v>
      </c>
    </row>
    <row r="79" spans="1:8" x14ac:dyDescent="0.25">
      <c r="A79" s="13" t="s">
        <v>187</v>
      </c>
      <c r="B79" s="12">
        <f>'Data 2'!$A$23:$AF$23</f>
        <v>61.7</v>
      </c>
    </row>
    <row r="80" spans="1:8" x14ac:dyDescent="0.25">
      <c r="A80" s="13" t="s">
        <v>188</v>
      </c>
    </row>
    <row r="81" spans="1:8" x14ac:dyDescent="0.25">
      <c r="A81" s="13" t="s">
        <v>189</v>
      </c>
      <c r="B81" s="12" t="s">
        <v>474</v>
      </c>
      <c r="C81" s="12" t="s">
        <v>190</v>
      </c>
      <c r="D81" s="12" t="s">
        <v>272</v>
      </c>
      <c r="E81" s="12" t="b">
        <v>1</v>
      </c>
      <c r="F81" s="12">
        <v>0</v>
      </c>
      <c r="G81" s="12">
        <v>4</v>
      </c>
      <c r="H81" s="12">
        <v>0</v>
      </c>
    </row>
    <row r="82" spans="1:8" x14ac:dyDescent="0.25">
      <c r="A82" s="13" t="s">
        <v>192</v>
      </c>
      <c r="B82" s="12">
        <f>'Data 2'!$A$24:$AF$24</f>
        <v>72.7</v>
      </c>
    </row>
    <row r="83" spans="1:8" x14ac:dyDescent="0.25">
      <c r="A83" s="13" t="s">
        <v>193</v>
      </c>
    </row>
    <row r="84" spans="1:8" x14ac:dyDescent="0.25">
      <c r="A84" s="13" t="s">
        <v>194</v>
      </c>
      <c r="B84" s="12" t="s">
        <v>475</v>
      </c>
      <c r="C84" s="12" t="s">
        <v>195</v>
      </c>
      <c r="D84" s="12" t="s">
        <v>273</v>
      </c>
      <c r="E84" s="12" t="b">
        <v>1</v>
      </c>
      <c r="F84" s="12">
        <v>0</v>
      </c>
      <c r="G84" s="12">
        <v>4</v>
      </c>
      <c r="H84" s="12">
        <v>0</v>
      </c>
    </row>
    <row r="85" spans="1:8" x14ac:dyDescent="0.25">
      <c r="A85" s="13" t="s">
        <v>197</v>
      </c>
      <c r="B85" s="12">
        <f>'Data 2'!$A$25:$AF$25</f>
        <v>72.599999999999994</v>
      </c>
    </row>
    <row r="86" spans="1:8" x14ac:dyDescent="0.25">
      <c r="A86" s="13" t="s">
        <v>198</v>
      </c>
    </row>
    <row r="87" spans="1:8" x14ac:dyDescent="0.25">
      <c r="A87" s="13" t="s">
        <v>199</v>
      </c>
      <c r="B87" s="12" t="s">
        <v>476</v>
      </c>
      <c r="C87" s="12" t="s">
        <v>200</v>
      </c>
      <c r="D87" s="12" t="s">
        <v>274</v>
      </c>
      <c r="E87" s="12" t="b">
        <v>1</v>
      </c>
      <c r="F87" s="12">
        <v>0</v>
      </c>
      <c r="G87" s="12">
        <v>4</v>
      </c>
      <c r="H87" s="12">
        <v>0</v>
      </c>
    </row>
    <row r="88" spans="1:8" x14ac:dyDescent="0.25">
      <c r="A88" s="13" t="s">
        <v>202</v>
      </c>
      <c r="B88" s="12">
        <f>'Data 2'!$A$26:$AF$26</f>
        <v>72.3</v>
      </c>
    </row>
    <row r="89" spans="1:8" x14ac:dyDescent="0.25">
      <c r="A89" s="13" t="s">
        <v>203</v>
      </c>
    </row>
    <row r="90" spans="1:8" x14ac:dyDescent="0.25">
      <c r="A90" s="13" t="s">
        <v>275</v>
      </c>
      <c r="B90" s="12" t="s">
        <v>477</v>
      </c>
      <c r="C90" s="12" t="s">
        <v>276</v>
      </c>
      <c r="D90" s="12" t="s">
        <v>277</v>
      </c>
      <c r="E90" s="12" t="b">
        <v>1</v>
      </c>
      <c r="F90" s="12">
        <v>0</v>
      </c>
      <c r="G90" s="12">
        <v>4</v>
      </c>
      <c r="H90" s="12">
        <v>0</v>
      </c>
    </row>
    <row r="91" spans="1:8" x14ac:dyDescent="0.25">
      <c r="A91" s="13" t="s">
        <v>278</v>
      </c>
      <c r="B91" s="12">
        <f>'Data 2'!$A$27:$AF$27</f>
        <v>69.5</v>
      </c>
    </row>
    <row r="92" spans="1:8" x14ac:dyDescent="0.25">
      <c r="A92" s="13" t="s">
        <v>279</v>
      </c>
    </row>
    <row r="93" spans="1:8" x14ac:dyDescent="0.25">
      <c r="A93" s="13" t="s">
        <v>280</v>
      </c>
      <c r="B93" s="12" t="s">
        <v>478</v>
      </c>
      <c r="C93" s="12" t="s">
        <v>281</v>
      </c>
      <c r="D93" s="12" t="s">
        <v>282</v>
      </c>
      <c r="E93" s="12" t="b">
        <v>1</v>
      </c>
      <c r="F93" s="12">
        <v>0</v>
      </c>
      <c r="G93" s="12">
        <v>4</v>
      </c>
      <c r="H93" s="12">
        <v>0</v>
      </c>
    </row>
    <row r="94" spans="1:8" x14ac:dyDescent="0.25">
      <c r="A94" s="13" t="s">
        <v>283</v>
      </c>
      <c r="B94" s="12">
        <f>'Data 2'!$A$28:$AF$28</f>
        <v>66.400000000000006</v>
      </c>
    </row>
    <row r="95" spans="1:8" x14ac:dyDescent="0.25">
      <c r="A95" s="13" t="s">
        <v>284</v>
      </c>
    </row>
    <row r="96" spans="1:8" x14ac:dyDescent="0.25">
      <c r="A96" s="13" t="s">
        <v>285</v>
      </c>
      <c r="B96" s="12" t="s">
        <v>479</v>
      </c>
      <c r="C96" s="12" t="s">
        <v>286</v>
      </c>
      <c r="D96" s="12" t="s">
        <v>287</v>
      </c>
      <c r="E96" s="12" t="b">
        <v>1</v>
      </c>
      <c r="F96" s="12">
        <v>0</v>
      </c>
      <c r="G96" s="12">
        <v>4</v>
      </c>
      <c r="H96" s="12">
        <v>0</v>
      </c>
    </row>
    <row r="97" spans="1:8" x14ac:dyDescent="0.25">
      <c r="A97" s="13" t="s">
        <v>288</v>
      </c>
      <c r="B97" s="12">
        <f>'Data 2'!$A$29:$AF$29</f>
        <v>69.3</v>
      </c>
    </row>
    <row r="98" spans="1:8" x14ac:dyDescent="0.25">
      <c r="A98" s="13" t="s">
        <v>289</v>
      </c>
    </row>
    <row r="99" spans="1:8" x14ac:dyDescent="0.25">
      <c r="A99" s="13" t="s">
        <v>290</v>
      </c>
      <c r="B99" s="12" t="s">
        <v>480</v>
      </c>
      <c r="C99" s="12" t="s">
        <v>291</v>
      </c>
      <c r="D99" s="12" t="s">
        <v>292</v>
      </c>
      <c r="E99" s="12" t="b">
        <v>1</v>
      </c>
      <c r="F99" s="12">
        <v>0</v>
      </c>
      <c r="G99" s="12">
        <v>4</v>
      </c>
      <c r="H99" s="12">
        <v>0</v>
      </c>
    </row>
    <row r="100" spans="1:8" x14ac:dyDescent="0.25">
      <c r="A100" s="13" t="s">
        <v>293</v>
      </c>
      <c r="B100" s="12">
        <f>'Data 2'!$A$30:$AF$30</f>
        <v>58.9</v>
      </c>
    </row>
    <row r="101" spans="1:8" x14ac:dyDescent="0.25">
      <c r="A101" s="13" t="s">
        <v>294</v>
      </c>
    </row>
    <row r="102" spans="1:8" x14ac:dyDescent="0.25">
      <c r="A102" s="13" t="s">
        <v>295</v>
      </c>
      <c r="B102" s="12" t="s">
        <v>481</v>
      </c>
      <c r="C102" s="12" t="s">
        <v>296</v>
      </c>
      <c r="D102" s="12" t="s">
        <v>297</v>
      </c>
      <c r="E102" s="12" t="b">
        <v>1</v>
      </c>
      <c r="F102" s="12">
        <v>0</v>
      </c>
      <c r="G102" s="12">
        <v>4</v>
      </c>
      <c r="H102" s="12">
        <v>0</v>
      </c>
    </row>
    <row r="103" spans="1:8" x14ac:dyDescent="0.25">
      <c r="A103" s="13" t="s">
        <v>298</v>
      </c>
      <c r="B103" s="12">
        <f>'Data 2'!$A$31:$AF$31</f>
        <v>67.099999999999994</v>
      </c>
    </row>
    <row r="104" spans="1:8" x14ac:dyDescent="0.25">
      <c r="A104" s="13" t="s">
        <v>299</v>
      </c>
    </row>
    <row r="105" spans="1:8" x14ac:dyDescent="0.25">
      <c r="A105" s="13" t="s">
        <v>300</v>
      </c>
      <c r="B105" s="12" t="s">
        <v>482</v>
      </c>
      <c r="C105" s="12" t="s">
        <v>301</v>
      </c>
      <c r="D105" s="12" t="s">
        <v>302</v>
      </c>
      <c r="E105" s="12" t="b">
        <v>1</v>
      </c>
      <c r="F105" s="12">
        <v>0</v>
      </c>
      <c r="G105" s="12">
        <v>4</v>
      </c>
      <c r="H105" s="12">
        <v>0</v>
      </c>
    </row>
    <row r="106" spans="1:8" x14ac:dyDescent="0.25">
      <c r="A106" s="13" t="s">
        <v>303</v>
      </c>
      <c r="B106" s="12">
        <f>'Data 2'!$A$32:$AF$32</f>
        <v>63.4</v>
      </c>
    </row>
    <row r="107" spans="1:8" x14ac:dyDescent="0.25">
      <c r="A107" s="13" t="s">
        <v>304</v>
      </c>
    </row>
    <row r="108" spans="1:8" x14ac:dyDescent="0.25">
      <c r="A108" s="13" t="s">
        <v>305</v>
      </c>
      <c r="B108" s="12" t="s">
        <v>483</v>
      </c>
      <c r="C108" s="12" t="s">
        <v>306</v>
      </c>
      <c r="D108" s="12" t="s">
        <v>307</v>
      </c>
      <c r="E108" s="12" t="b">
        <v>1</v>
      </c>
      <c r="F108" s="12">
        <v>0</v>
      </c>
      <c r="G108" s="12">
        <v>4</v>
      </c>
      <c r="H108" s="12">
        <v>0</v>
      </c>
    </row>
    <row r="109" spans="1:8" x14ac:dyDescent="0.25">
      <c r="A109" s="13" t="s">
        <v>308</v>
      </c>
      <c r="B109" s="12">
        <f>'Data 2'!$A$33:$AF$33</f>
        <v>68</v>
      </c>
    </row>
    <row r="110" spans="1:8" x14ac:dyDescent="0.25">
      <c r="A110" s="13" t="s">
        <v>309</v>
      </c>
    </row>
    <row r="111" spans="1:8" x14ac:dyDescent="0.25">
      <c r="A111" s="13" t="s">
        <v>310</v>
      </c>
      <c r="B111" s="12" t="s">
        <v>484</v>
      </c>
      <c r="C111" s="12" t="s">
        <v>311</v>
      </c>
      <c r="D111" s="12" t="s">
        <v>312</v>
      </c>
      <c r="E111" s="12" t="b">
        <v>1</v>
      </c>
      <c r="F111" s="12">
        <v>0</v>
      </c>
      <c r="G111" s="12">
        <v>4</v>
      </c>
      <c r="H111" s="12">
        <v>0</v>
      </c>
    </row>
    <row r="112" spans="1:8" x14ac:dyDescent="0.25">
      <c r="A112" s="13" t="s">
        <v>313</v>
      </c>
      <c r="B112" s="12">
        <f>'Data 2'!$A$34:$AF$34</f>
        <v>51.1</v>
      </c>
    </row>
    <row r="113" spans="1:8" x14ac:dyDescent="0.25">
      <c r="A113" s="13" t="s">
        <v>314</v>
      </c>
    </row>
    <row r="114" spans="1:8" x14ac:dyDescent="0.25">
      <c r="A114" s="13" t="s">
        <v>315</v>
      </c>
      <c r="B114" s="12" t="s">
        <v>485</v>
      </c>
      <c r="C114" s="12" t="s">
        <v>316</v>
      </c>
      <c r="D114" s="12" t="s">
        <v>317</v>
      </c>
      <c r="E114" s="12" t="b">
        <v>1</v>
      </c>
      <c r="F114" s="12">
        <v>0</v>
      </c>
      <c r="G114" s="12">
        <v>4</v>
      </c>
      <c r="H114" s="12">
        <v>0</v>
      </c>
    </row>
    <row r="115" spans="1:8" x14ac:dyDescent="0.25">
      <c r="A115" s="13" t="s">
        <v>318</v>
      </c>
      <c r="B115" s="12">
        <f>'Data 2'!$A$35:$AF$35</f>
        <v>68.8</v>
      </c>
    </row>
    <row r="116" spans="1:8" x14ac:dyDescent="0.25">
      <c r="A116" s="13" t="s">
        <v>319</v>
      </c>
    </row>
    <row r="117" spans="1:8" x14ac:dyDescent="0.25">
      <c r="A117" s="13" t="s">
        <v>320</v>
      </c>
      <c r="B117" s="12" t="s">
        <v>486</v>
      </c>
      <c r="C117" s="12" t="s">
        <v>321</v>
      </c>
      <c r="D117" s="12" t="s">
        <v>322</v>
      </c>
      <c r="E117" s="12" t="b">
        <v>1</v>
      </c>
      <c r="F117" s="12">
        <v>0</v>
      </c>
      <c r="G117" s="12">
        <v>4</v>
      </c>
      <c r="H117" s="12">
        <v>0</v>
      </c>
    </row>
    <row r="118" spans="1:8" x14ac:dyDescent="0.25">
      <c r="A118" s="13" t="s">
        <v>323</v>
      </c>
      <c r="B118" s="12">
        <f>'Data 2'!$A$36:$AF$36</f>
        <v>70.099999999999994</v>
      </c>
    </row>
    <row r="119" spans="1:8" x14ac:dyDescent="0.25">
      <c r="A119" s="13" t="s">
        <v>324</v>
      </c>
    </row>
    <row r="120" spans="1:8" x14ac:dyDescent="0.25">
      <c r="A120" s="13" t="s">
        <v>325</v>
      </c>
      <c r="B120" s="12" t="s">
        <v>487</v>
      </c>
      <c r="C120" s="12" t="s">
        <v>326</v>
      </c>
      <c r="D120" s="12" t="s">
        <v>327</v>
      </c>
      <c r="E120" s="12" t="b">
        <v>1</v>
      </c>
      <c r="F120" s="12">
        <v>0</v>
      </c>
      <c r="G120" s="12">
        <v>4</v>
      </c>
      <c r="H120" s="12">
        <v>0</v>
      </c>
    </row>
    <row r="121" spans="1:8" x14ac:dyDescent="0.25">
      <c r="A121" s="13" t="s">
        <v>328</v>
      </c>
      <c r="B121" s="12">
        <f>'Data 2'!$A$37:$AF$37</f>
        <v>67.7</v>
      </c>
    </row>
    <row r="122" spans="1:8" x14ac:dyDescent="0.25">
      <c r="A122" s="13" t="s">
        <v>329</v>
      </c>
    </row>
    <row r="123" spans="1:8" x14ac:dyDescent="0.25">
      <c r="A123" s="13" t="s">
        <v>330</v>
      </c>
      <c r="B123" s="12" t="s">
        <v>488</v>
      </c>
      <c r="C123" s="12" t="s">
        <v>331</v>
      </c>
      <c r="D123" s="12" t="s">
        <v>332</v>
      </c>
      <c r="E123" s="12" t="b">
        <v>1</v>
      </c>
      <c r="F123" s="12">
        <v>0</v>
      </c>
      <c r="G123" s="12">
        <v>4</v>
      </c>
      <c r="H123" s="12">
        <v>0</v>
      </c>
    </row>
    <row r="124" spans="1:8" x14ac:dyDescent="0.25">
      <c r="A124" s="13" t="s">
        <v>333</v>
      </c>
      <c r="B124" s="12">
        <f>'Data 2'!$A$38:$AF$38</f>
        <v>71</v>
      </c>
    </row>
    <row r="125" spans="1:8" x14ac:dyDescent="0.25">
      <c r="A125" s="13" t="s">
        <v>334</v>
      </c>
    </row>
    <row r="126" spans="1:8" x14ac:dyDescent="0.25">
      <c r="A126" s="13" t="s">
        <v>335</v>
      </c>
      <c r="B126" s="12" t="s">
        <v>489</v>
      </c>
      <c r="C126" s="12" t="s">
        <v>336</v>
      </c>
      <c r="D126" s="12" t="s">
        <v>337</v>
      </c>
      <c r="E126" s="12" t="b">
        <v>1</v>
      </c>
      <c r="F126" s="12">
        <v>0</v>
      </c>
      <c r="G126" s="12">
        <v>4</v>
      </c>
      <c r="H126" s="12">
        <v>0</v>
      </c>
    </row>
    <row r="127" spans="1:8" x14ac:dyDescent="0.25">
      <c r="A127" s="13" t="s">
        <v>338</v>
      </c>
      <c r="B127" s="12">
        <f>'Data 2'!$A$39:$AF$39</f>
        <v>61.9</v>
      </c>
    </row>
    <row r="128" spans="1:8" x14ac:dyDescent="0.25">
      <c r="A128" s="13" t="s">
        <v>339</v>
      </c>
    </row>
    <row r="129" spans="1:8" x14ac:dyDescent="0.25">
      <c r="A129" s="13" t="s">
        <v>340</v>
      </c>
      <c r="B129" s="12" t="s">
        <v>490</v>
      </c>
      <c r="C129" s="12" t="s">
        <v>341</v>
      </c>
      <c r="D129" s="12" t="s">
        <v>342</v>
      </c>
      <c r="E129" s="12" t="b">
        <v>1</v>
      </c>
      <c r="F129" s="12">
        <v>0</v>
      </c>
      <c r="G129" s="12">
        <v>4</v>
      </c>
      <c r="H129" s="12">
        <v>0</v>
      </c>
    </row>
    <row r="130" spans="1:8" x14ac:dyDescent="0.25">
      <c r="A130" s="13" t="s">
        <v>343</v>
      </c>
      <c r="B130" s="12">
        <f>'Data 2'!$A$40:$AF$40</f>
        <v>71.099999999999994</v>
      </c>
    </row>
    <row r="131" spans="1:8" x14ac:dyDescent="0.25">
      <c r="A131" s="13" t="s">
        <v>344</v>
      </c>
    </row>
    <row r="132" spans="1:8" x14ac:dyDescent="0.25">
      <c r="A132" s="13" t="s">
        <v>345</v>
      </c>
      <c r="B132" s="12" t="s">
        <v>491</v>
      </c>
      <c r="C132" s="12" t="s">
        <v>346</v>
      </c>
      <c r="D132" s="12" t="s">
        <v>347</v>
      </c>
      <c r="E132" s="12" t="b">
        <v>1</v>
      </c>
      <c r="F132" s="12">
        <v>0</v>
      </c>
      <c r="G132" s="12">
        <v>4</v>
      </c>
      <c r="H132" s="12">
        <v>0</v>
      </c>
    </row>
    <row r="133" spans="1:8" x14ac:dyDescent="0.25">
      <c r="A133" s="13" t="s">
        <v>348</v>
      </c>
      <c r="B133" s="12">
        <f>'Data 2'!$A$41:$AF$41</f>
        <v>60.9</v>
      </c>
    </row>
    <row r="134" spans="1:8" x14ac:dyDescent="0.25">
      <c r="A134" s="13" t="s">
        <v>349</v>
      </c>
    </row>
    <row r="135" spans="1:8" x14ac:dyDescent="0.25">
      <c r="A135" s="13" t="s">
        <v>350</v>
      </c>
      <c r="B135" s="12" t="s">
        <v>492</v>
      </c>
      <c r="C135" s="12" t="s">
        <v>351</v>
      </c>
      <c r="D135" s="12" t="s">
        <v>352</v>
      </c>
      <c r="E135" s="12" t="b">
        <v>1</v>
      </c>
      <c r="F135" s="12">
        <v>0</v>
      </c>
      <c r="G135" s="12">
        <v>4</v>
      </c>
      <c r="H135" s="12">
        <v>0</v>
      </c>
    </row>
    <row r="136" spans="1:8" x14ac:dyDescent="0.25">
      <c r="A136" s="13" t="s">
        <v>353</v>
      </c>
      <c r="B136" s="12">
        <f>'Data 2'!$A$42:$AF$42</f>
        <v>69.099999999999994</v>
      </c>
    </row>
    <row r="137" spans="1:8" x14ac:dyDescent="0.25">
      <c r="A137" s="13" t="s">
        <v>354</v>
      </c>
    </row>
    <row r="138" spans="1:8" x14ac:dyDescent="0.25">
      <c r="A138" s="13" t="s">
        <v>355</v>
      </c>
      <c r="B138" s="12" t="s">
        <v>493</v>
      </c>
      <c r="C138" s="12" t="s">
        <v>356</v>
      </c>
      <c r="D138" s="12" t="s">
        <v>357</v>
      </c>
      <c r="E138" s="12" t="b">
        <v>1</v>
      </c>
      <c r="F138" s="12">
        <v>0</v>
      </c>
      <c r="G138" s="12">
        <v>4</v>
      </c>
      <c r="H138" s="12">
        <v>0</v>
      </c>
    </row>
    <row r="139" spans="1:8" x14ac:dyDescent="0.25">
      <c r="A139" s="13" t="s">
        <v>358</v>
      </c>
      <c r="B139" s="12">
        <f>'Data 2'!$A$43:$AF$43</f>
        <v>69.599999999999994</v>
      </c>
    </row>
    <row r="140" spans="1:8" x14ac:dyDescent="0.25">
      <c r="A140" s="13" t="s">
        <v>359</v>
      </c>
    </row>
    <row r="141" spans="1:8" x14ac:dyDescent="0.25">
      <c r="A141" s="13" t="s">
        <v>360</v>
      </c>
      <c r="B141" s="12" t="s">
        <v>494</v>
      </c>
      <c r="C141" s="12" t="s">
        <v>361</v>
      </c>
      <c r="D141" s="12" t="s">
        <v>362</v>
      </c>
      <c r="E141" s="12" t="b">
        <v>1</v>
      </c>
      <c r="F141" s="12">
        <v>0</v>
      </c>
      <c r="G141" s="12">
        <v>4</v>
      </c>
      <c r="H141" s="12">
        <v>0</v>
      </c>
    </row>
    <row r="142" spans="1:8" x14ac:dyDescent="0.25">
      <c r="A142" s="13" t="s">
        <v>363</v>
      </c>
      <c r="B142" s="12">
        <f>'Data 2'!$A$44:$AF$44</f>
        <v>67.599999999999994</v>
      </c>
    </row>
    <row r="143" spans="1:8" x14ac:dyDescent="0.25">
      <c r="A143" s="13" t="s">
        <v>364</v>
      </c>
    </row>
    <row r="144" spans="1:8" x14ac:dyDescent="0.25">
      <c r="A144" s="13" t="s">
        <v>365</v>
      </c>
      <c r="B144" s="12" t="s">
        <v>495</v>
      </c>
      <c r="C144" s="12" t="s">
        <v>366</v>
      </c>
      <c r="D144" s="12" t="s">
        <v>367</v>
      </c>
      <c r="E144" s="12" t="b">
        <v>1</v>
      </c>
      <c r="F144" s="12">
        <v>0</v>
      </c>
      <c r="G144" s="12">
        <v>4</v>
      </c>
      <c r="H144" s="12">
        <v>0</v>
      </c>
    </row>
    <row r="145" spans="1:8" x14ac:dyDescent="0.25">
      <c r="A145" s="13" t="s">
        <v>368</v>
      </c>
      <c r="B145" s="12">
        <f>'Data 2'!$A$45:$AF$45</f>
        <v>62.5</v>
      </c>
    </row>
    <row r="146" spans="1:8" x14ac:dyDescent="0.25">
      <c r="A146" s="13" t="s">
        <v>369</v>
      </c>
    </row>
    <row r="147" spans="1:8" x14ac:dyDescent="0.25">
      <c r="A147" s="13" t="s">
        <v>370</v>
      </c>
      <c r="B147" s="12" t="s">
        <v>496</v>
      </c>
      <c r="C147" s="12" t="s">
        <v>371</v>
      </c>
      <c r="D147" s="12" t="s">
        <v>372</v>
      </c>
      <c r="E147" s="12" t="b">
        <v>1</v>
      </c>
      <c r="F147" s="12">
        <v>0</v>
      </c>
      <c r="G147" s="12">
        <v>4</v>
      </c>
      <c r="H147" s="12">
        <v>0</v>
      </c>
    </row>
    <row r="148" spans="1:8" x14ac:dyDescent="0.25">
      <c r="A148" s="13" t="s">
        <v>373</v>
      </c>
      <c r="B148" s="12">
        <f>'Data 2'!$A$46:$AF$46</f>
        <v>69.900000000000006</v>
      </c>
    </row>
    <row r="149" spans="1:8" x14ac:dyDescent="0.25">
      <c r="A149" s="13" t="s">
        <v>374</v>
      </c>
    </row>
    <row r="150" spans="1:8" x14ac:dyDescent="0.25">
      <c r="A150" s="13" t="s">
        <v>375</v>
      </c>
      <c r="B150" s="12" t="s">
        <v>497</v>
      </c>
      <c r="C150" s="12" t="s">
        <v>376</v>
      </c>
      <c r="D150" s="12" t="s">
        <v>377</v>
      </c>
      <c r="E150" s="12" t="b">
        <v>1</v>
      </c>
      <c r="F150" s="12">
        <v>0</v>
      </c>
      <c r="G150" s="12">
        <v>4</v>
      </c>
      <c r="H150" s="12">
        <v>0</v>
      </c>
    </row>
    <row r="151" spans="1:8" x14ac:dyDescent="0.25">
      <c r="A151" s="13" t="s">
        <v>378</v>
      </c>
      <c r="B151" s="12">
        <f>'Data 2'!$A$47:$AF$47</f>
        <v>66.900000000000006</v>
      </c>
    </row>
    <row r="152" spans="1:8" x14ac:dyDescent="0.25">
      <c r="A152" s="13" t="s">
        <v>379</v>
      </c>
    </row>
    <row r="153" spans="1:8" x14ac:dyDescent="0.25">
      <c r="A153" s="13" t="s">
        <v>380</v>
      </c>
      <c r="B153" s="12" t="s">
        <v>498</v>
      </c>
      <c r="C153" s="12" t="s">
        <v>381</v>
      </c>
      <c r="D153" s="12" t="s">
        <v>382</v>
      </c>
      <c r="E153" s="12" t="b">
        <v>1</v>
      </c>
      <c r="F153" s="12">
        <v>0</v>
      </c>
      <c r="G153" s="12">
        <v>4</v>
      </c>
      <c r="H153" s="12">
        <v>0</v>
      </c>
    </row>
    <row r="154" spans="1:8" x14ac:dyDescent="0.25">
      <c r="A154" s="13" t="s">
        <v>383</v>
      </c>
      <c r="B154" s="12">
        <f>'Data 2'!$A$48:$AF$48</f>
        <v>68.3</v>
      </c>
    </row>
    <row r="155" spans="1:8" x14ac:dyDescent="0.25">
      <c r="A155" s="13" t="s">
        <v>384</v>
      </c>
    </row>
    <row r="156" spans="1:8" x14ac:dyDescent="0.25">
      <c r="A156" s="13" t="s">
        <v>385</v>
      </c>
      <c r="B156" s="12" t="s">
        <v>499</v>
      </c>
      <c r="C156" s="12" t="s">
        <v>386</v>
      </c>
      <c r="D156" s="12" t="s">
        <v>387</v>
      </c>
      <c r="E156" s="12" t="b">
        <v>1</v>
      </c>
      <c r="F156" s="12">
        <v>0</v>
      </c>
      <c r="G156" s="12">
        <v>4</v>
      </c>
      <c r="H156" s="12">
        <v>0</v>
      </c>
    </row>
    <row r="157" spans="1:8" x14ac:dyDescent="0.25">
      <c r="A157" s="13" t="s">
        <v>388</v>
      </c>
      <c r="B157" s="12">
        <f>'Data 2'!$A$49:$AF$49</f>
        <v>65.7</v>
      </c>
    </row>
    <row r="158" spans="1:8" x14ac:dyDescent="0.25">
      <c r="A158" s="13" t="s">
        <v>389</v>
      </c>
    </row>
    <row r="159" spans="1:8" x14ac:dyDescent="0.25">
      <c r="A159" s="13" t="s">
        <v>390</v>
      </c>
      <c r="B159" s="12" t="s">
        <v>500</v>
      </c>
      <c r="C159" s="12" t="s">
        <v>391</v>
      </c>
      <c r="D159" s="12" t="s">
        <v>392</v>
      </c>
      <c r="E159" s="12" t="b">
        <v>1</v>
      </c>
      <c r="F159" s="12">
        <v>0</v>
      </c>
      <c r="G159" s="12">
        <v>4</v>
      </c>
      <c r="H159" s="12">
        <v>0</v>
      </c>
    </row>
    <row r="160" spans="1:8" x14ac:dyDescent="0.25">
      <c r="A160" s="13" t="s">
        <v>393</v>
      </c>
      <c r="B160" s="12">
        <f>'Data 2'!$A$50:$AF$50</f>
        <v>72</v>
      </c>
    </row>
    <row r="161" spans="1:8" x14ac:dyDescent="0.25">
      <c r="A161" s="13" t="s">
        <v>394</v>
      </c>
    </row>
    <row r="162" spans="1:8" x14ac:dyDescent="0.25">
      <c r="A162" s="13" t="s">
        <v>395</v>
      </c>
      <c r="B162" s="12" t="s">
        <v>501</v>
      </c>
      <c r="C162" s="12" t="s">
        <v>396</v>
      </c>
      <c r="D162" s="12" t="s">
        <v>397</v>
      </c>
      <c r="E162" s="12" t="b">
        <v>1</v>
      </c>
      <c r="F162" s="12">
        <v>0</v>
      </c>
      <c r="G162" s="12">
        <v>4</v>
      </c>
      <c r="H162" s="12">
        <v>0</v>
      </c>
    </row>
    <row r="163" spans="1:8" x14ac:dyDescent="0.25">
      <c r="A163" s="13" t="s">
        <v>398</v>
      </c>
      <c r="B163" s="12">
        <f>'Data 2'!$A$51:$AF$51</f>
        <v>65.2</v>
      </c>
    </row>
    <row r="164" spans="1:8" x14ac:dyDescent="0.25">
      <c r="A164" s="13" t="s">
        <v>399</v>
      </c>
    </row>
    <row r="165" spans="1:8" x14ac:dyDescent="0.25">
      <c r="A165" s="13" t="s">
        <v>400</v>
      </c>
      <c r="B165" s="12" t="s">
        <v>502</v>
      </c>
      <c r="C165" s="12" t="s">
        <v>401</v>
      </c>
      <c r="D165" s="12" t="s">
        <v>402</v>
      </c>
      <c r="E165" s="12" t="b">
        <v>1</v>
      </c>
      <c r="F165" s="12">
        <v>0</v>
      </c>
      <c r="G165" s="12">
        <v>4</v>
      </c>
      <c r="H165" s="12">
        <v>0</v>
      </c>
    </row>
    <row r="166" spans="1:8" x14ac:dyDescent="0.25">
      <c r="A166" s="13" t="s">
        <v>403</v>
      </c>
      <c r="B166" s="12">
        <f>'Data 2'!$A$52:$AF$52</f>
        <v>68.8</v>
      </c>
    </row>
    <row r="167" spans="1:8" x14ac:dyDescent="0.25">
      <c r="A167" s="13" t="s">
        <v>404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7"/>
  <sheetViews>
    <sheetView workbookViewId="0"/>
  </sheetViews>
  <sheetFormatPr defaultColWidth="30.7109375" defaultRowHeight="15" x14ac:dyDescent="0.25"/>
  <cols>
    <col min="1" max="1" width="30.7109375" style="13"/>
    <col min="2" max="16384" width="30.7109375" style="12"/>
  </cols>
  <sheetData>
    <row r="1" spans="1:20" x14ac:dyDescent="0.25">
      <c r="A1" s="13" t="s">
        <v>61</v>
      </c>
      <c r="B1" s="12" t="s">
        <v>62</v>
      </c>
      <c r="C1" s="12" t="s">
        <v>52</v>
      </c>
      <c r="D1" s="12">
        <v>7</v>
      </c>
      <c r="E1" s="12" t="s">
        <v>53</v>
      </c>
      <c r="F1" s="12">
        <v>0</v>
      </c>
      <c r="G1" s="12" t="s">
        <v>54</v>
      </c>
      <c r="H1" s="12">
        <v>0</v>
      </c>
      <c r="I1" s="12" t="s">
        <v>55</v>
      </c>
      <c r="J1" s="12">
        <v>1</v>
      </c>
      <c r="K1" s="12" t="s">
        <v>56</v>
      </c>
      <c r="L1" s="12">
        <v>0</v>
      </c>
      <c r="M1" s="12" t="s">
        <v>57</v>
      </c>
      <c r="N1" s="12">
        <v>0</v>
      </c>
      <c r="O1" s="12" t="s">
        <v>58</v>
      </c>
      <c r="P1" s="12">
        <v>1</v>
      </c>
      <c r="Q1" s="12" t="s">
        <v>59</v>
      </c>
      <c r="R1" s="12">
        <v>0</v>
      </c>
      <c r="S1" s="12" t="s">
        <v>60</v>
      </c>
      <c r="T1" s="12">
        <v>0</v>
      </c>
    </row>
    <row r="2" spans="1:20" x14ac:dyDescent="0.25">
      <c r="A2" s="13" t="s">
        <v>63</v>
      </c>
      <c r="B2" s="12" t="s">
        <v>64</v>
      </c>
    </row>
    <row r="3" spans="1:20" x14ac:dyDescent="0.25">
      <c r="A3" s="13" t="s">
        <v>65</v>
      </c>
      <c r="B3" s="12" t="b">
        <f>IF(B10&gt;256,"TripUpST110AndEarlier",FALSE)</f>
        <v>0</v>
      </c>
    </row>
    <row r="4" spans="1:20" x14ac:dyDescent="0.25">
      <c r="A4" s="13" t="s">
        <v>66</v>
      </c>
      <c r="B4" s="12" t="s">
        <v>67</v>
      </c>
    </row>
    <row r="5" spans="1:20" x14ac:dyDescent="0.25">
      <c r="A5" s="13" t="s">
        <v>68</v>
      </c>
      <c r="B5" s="12" t="b">
        <v>1</v>
      </c>
    </row>
    <row r="6" spans="1:20" x14ac:dyDescent="0.25">
      <c r="A6" s="13" t="s">
        <v>69</v>
      </c>
      <c r="B6" s="12" t="b">
        <v>1</v>
      </c>
    </row>
    <row r="7" spans="1:20" x14ac:dyDescent="0.25">
      <c r="A7" s="13" t="s">
        <v>70</v>
      </c>
      <c r="B7" s="12">
        <f>Data!$A$1:$AF$52</f>
        <v>64.7</v>
      </c>
    </row>
    <row r="8" spans="1:20" x14ac:dyDescent="0.25">
      <c r="A8" s="13" t="s">
        <v>71</v>
      </c>
      <c r="B8" s="12">
        <v>2</v>
      </c>
    </row>
    <row r="9" spans="1:20" x14ac:dyDescent="0.25">
      <c r="A9" s="13" t="s">
        <v>72</v>
      </c>
      <c r="B9" s="12">
        <f>1</f>
        <v>1</v>
      </c>
    </row>
    <row r="10" spans="1:20" x14ac:dyDescent="0.25">
      <c r="A10" s="13" t="s">
        <v>73</v>
      </c>
      <c r="B10" s="12">
        <v>32</v>
      </c>
    </row>
    <row r="12" spans="1:20" x14ac:dyDescent="0.25">
      <c r="A12" s="13" t="s">
        <v>74</v>
      </c>
      <c r="B12" s="12" t="s">
        <v>407</v>
      </c>
      <c r="C12" s="12" t="s">
        <v>75</v>
      </c>
      <c r="D12" s="12" t="s">
        <v>76</v>
      </c>
      <c r="E12" s="12" t="b">
        <v>1</v>
      </c>
      <c r="F12" s="12">
        <v>0</v>
      </c>
      <c r="G12" s="12">
        <v>4</v>
      </c>
      <c r="H12" s="12">
        <v>1</v>
      </c>
    </row>
    <row r="13" spans="1:20" x14ac:dyDescent="0.25">
      <c r="A13" s="13" t="s">
        <v>77</v>
      </c>
      <c r="B13" s="12" t="str">
        <f>Data!$A$1:$A$52</f>
        <v>Hawaii</v>
      </c>
    </row>
    <row r="14" spans="1:20" x14ac:dyDescent="0.25">
      <c r="A14" s="13" t="s">
        <v>78</v>
      </c>
    </row>
    <row r="15" spans="1:20" x14ac:dyDescent="0.25">
      <c r="A15" s="13" t="s">
        <v>79</v>
      </c>
      <c r="B15" s="12" t="s">
        <v>408</v>
      </c>
      <c r="C15" s="12" t="s">
        <v>80</v>
      </c>
      <c r="D15" s="12" t="s">
        <v>81</v>
      </c>
      <c r="E15" s="12" t="b">
        <v>1</v>
      </c>
      <c r="F15" s="12">
        <v>0</v>
      </c>
      <c r="G15" s="12">
        <v>4</v>
      </c>
      <c r="H15" s="12">
        <v>0</v>
      </c>
    </row>
    <row r="16" spans="1:20" x14ac:dyDescent="0.25">
      <c r="A16" s="13" t="s">
        <v>82</v>
      </c>
      <c r="B16" s="12">
        <f>Data!$B$1:$B$52</f>
        <v>69.900000000000006</v>
      </c>
    </row>
    <row r="17" spans="1:8" x14ac:dyDescent="0.25">
      <c r="A17" s="13" t="s">
        <v>83</v>
      </c>
    </row>
    <row r="18" spans="1:8" x14ac:dyDescent="0.25">
      <c r="A18" s="13" t="s">
        <v>84</v>
      </c>
      <c r="B18" s="12" t="s">
        <v>409</v>
      </c>
      <c r="C18" s="12" t="s">
        <v>85</v>
      </c>
      <c r="D18" s="12" t="s">
        <v>86</v>
      </c>
      <c r="E18" s="12" t="b">
        <v>1</v>
      </c>
      <c r="F18" s="12">
        <v>0</v>
      </c>
      <c r="G18" s="12">
        <v>4</v>
      </c>
      <c r="H18" s="12">
        <v>0</v>
      </c>
    </row>
    <row r="19" spans="1:8" x14ac:dyDescent="0.25">
      <c r="A19" s="13" t="s">
        <v>87</v>
      </c>
      <c r="B19" s="12">
        <f>Data!$C$1:$C$52</f>
        <v>68.5</v>
      </c>
    </row>
    <row r="20" spans="1:8" x14ac:dyDescent="0.25">
      <c r="A20" s="13" t="s">
        <v>88</v>
      </c>
    </row>
    <row r="21" spans="1:8" x14ac:dyDescent="0.25">
      <c r="A21" s="13" t="s">
        <v>89</v>
      </c>
      <c r="B21" s="12" t="s">
        <v>410</v>
      </c>
      <c r="C21" s="12" t="s">
        <v>90</v>
      </c>
      <c r="D21" s="12" t="s">
        <v>91</v>
      </c>
      <c r="E21" s="12" t="b">
        <v>1</v>
      </c>
      <c r="F21" s="12">
        <v>0</v>
      </c>
      <c r="G21" s="12">
        <v>4</v>
      </c>
      <c r="H21" s="12">
        <v>0</v>
      </c>
    </row>
    <row r="22" spans="1:8" x14ac:dyDescent="0.25">
      <c r="A22" s="13" t="s">
        <v>92</v>
      </c>
      <c r="B22" s="12">
        <f>Data!$D$1:$D$52</f>
        <v>62.8</v>
      </c>
    </row>
    <row r="23" spans="1:8" x14ac:dyDescent="0.25">
      <c r="A23" s="13" t="s">
        <v>93</v>
      </c>
    </row>
    <row r="24" spans="1:8" x14ac:dyDescent="0.25">
      <c r="A24" s="13" t="s">
        <v>94</v>
      </c>
      <c r="B24" s="12" t="s">
        <v>411</v>
      </c>
      <c r="C24" s="12" t="s">
        <v>95</v>
      </c>
      <c r="D24" s="12" t="s">
        <v>96</v>
      </c>
      <c r="E24" s="12" t="b">
        <v>1</v>
      </c>
      <c r="F24" s="12">
        <v>0</v>
      </c>
      <c r="G24" s="12">
        <v>4</v>
      </c>
      <c r="H24" s="12">
        <v>0</v>
      </c>
    </row>
    <row r="25" spans="1:8" x14ac:dyDescent="0.25">
      <c r="A25" s="13" t="s">
        <v>97</v>
      </c>
      <c r="B25" s="12">
        <f>Data!$E$1:$E$52</f>
        <v>68.900000000000006</v>
      </c>
    </row>
    <row r="26" spans="1:8" x14ac:dyDescent="0.25">
      <c r="A26" s="13" t="s">
        <v>98</v>
      </c>
    </row>
    <row r="27" spans="1:8" x14ac:dyDescent="0.25">
      <c r="A27" s="13" t="s">
        <v>99</v>
      </c>
      <c r="B27" s="12" t="s">
        <v>412</v>
      </c>
      <c r="C27" s="12" t="s">
        <v>100</v>
      </c>
      <c r="D27" s="12" t="s">
        <v>101</v>
      </c>
      <c r="E27" s="12" t="b">
        <v>1</v>
      </c>
      <c r="F27" s="12">
        <v>0</v>
      </c>
      <c r="G27" s="12">
        <v>4</v>
      </c>
      <c r="H27" s="12">
        <v>0</v>
      </c>
    </row>
    <row r="28" spans="1:8" x14ac:dyDescent="0.25">
      <c r="A28" s="13" t="s">
        <v>102</v>
      </c>
      <c r="B28" s="12">
        <f>Data!$F$1:$F$52</f>
        <v>65.400000000000006</v>
      </c>
    </row>
    <row r="29" spans="1:8" x14ac:dyDescent="0.25">
      <c r="A29" s="13" t="s">
        <v>103</v>
      </c>
    </row>
    <row r="30" spans="1:8" x14ac:dyDescent="0.25">
      <c r="A30" s="13" t="s">
        <v>104</v>
      </c>
      <c r="B30" s="12" t="s">
        <v>413</v>
      </c>
      <c r="C30" s="12" t="s">
        <v>105</v>
      </c>
      <c r="D30" s="12" t="s">
        <v>106</v>
      </c>
      <c r="E30" s="12" t="b">
        <v>1</v>
      </c>
      <c r="F30" s="12">
        <v>0</v>
      </c>
      <c r="G30" s="12">
        <v>4</v>
      </c>
      <c r="H30" s="12">
        <v>0</v>
      </c>
    </row>
    <row r="31" spans="1:8" x14ac:dyDescent="0.25">
      <c r="A31" s="13" t="s">
        <v>107</v>
      </c>
      <c r="B31" s="12">
        <f>Data!$G$1:$G$52</f>
        <v>67</v>
      </c>
    </row>
    <row r="32" spans="1:8" x14ac:dyDescent="0.25">
      <c r="A32" s="13" t="s">
        <v>108</v>
      </c>
    </row>
    <row r="33" spans="1:8" x14ac:dyDescent="0.25">
      <c r="A33" s="13" t="s">
        <v>109</v>
      </c>
      <c r="B33" s="12" t="s">
        <v>414</v>
      </c>
      <c r="C33" s="12" t="s">
        <v>110</v>
      </c>
      <c r="D33" s="12" t="s">
        <v>111</v>
      </c>
      <c r="E33" s="12" t="b">
        <v>1</v>
      </c>
      <c r="F33" s="12">
        <v>0</v>
      </c>
      <c r="G33" s="12">
        <v>4</v>
      </c>
      <c r="H33" s="12">
        <v>0</v>
      </c>
    </row>
    <row r="34" spans="1:8" x14ac:dyDescent="0.25">
      <c r="A34" s="13" t="s">
        <v>112</v>
      </c>
      <c r="B34" s="12">
        <f>Data!$H$1:$H$52</f>
        <v>53.3</v>
      </c>
    </row>
    <row r="35" spans="1:8" x14ac:dyDescent="0.25">
      <c r="A35" s="13" t="s">
        <v>113</v>
      </c>
    </row>
    <row r="36" spans="1:8" x14ac:dyDescent="0.25">
      <c r="A36" s="13" t="s">
        <v>114</v>
      </c>
      <c r="B36" s="12" t="s">
        <v>415</v>
      </c>
      <c r="C36" s="12" t="s">
        <v>115</v>
      </c>
      <c r="D36" s="12" t="s">
        <v>116</v>
      </c>
      <c r="E36" s="12" t="b">
        <v>1</v>
      </c>
      <c r="F36" s="12">
        <v>0</v>
      </c>
      <c r="G36" s="12">
        <v>4</v>
      </c>
      <c r="H36" s="12">
        <v>0</v>
      </c>
    </row>
    <row r="37" spans="1:8" x14ac:dyDescent="0.25">
      <c r="A37" s="13" t="s">
        <v>117</v>
      </c>
      <c r="B37" s="12">
        <f>Data!$I$1:$I$52</f>
        <v>68.7</v>
      </c>
    </row>
    <row r="38" spans="1:8" x14ac:dyDescent="0.25">
      <c r="A38" s="13" t="s">
        <v>118</v>
      </c>
    </row>
    <row r="39" spans="1:8" x14ac:dyDescent="0.25">
      <c r="A39" s="13" t="s">
        <v>119</v>
      </c>
      <c r="B39" s="12" t="s">
        <v>416</v>
      </c>
      <c r="C39" s="12" t="s">
        <v>120</v>
      </c>
      <c r="D39" s="12" t="s">
        <v>121</v>
      </c>
      <c r="E39" s="12" t="b">
        <v>1</v>
      </c>
      <c r="F39" s="12">
        <v>0</v>
      </c>
      <c r="G39" s="12">
        <v>4</v>
      </c>
      <c r="H39" s="12">
        <v>0</v>
      </c>
    </row>
    <row r="40" spans="1:8" x14ac:dyDescent="0.25">
      <c r="A40" s="13" t="s">
        <v>122</v>
      </c>
      <c r="B40" s="12">
        <f>Data!$J$1:$J$52</f>
        <v>73.099999999999994</v>
      </c>
    </row>
    <row r="41" spans="1:8" x14ac:dyDescent="0.25">
      <c r="A41" s="13" t="s">
        <v>123</v>
      </c>
    </row>
    <row r="42" spans="1:8" x14ac:dyDescent="0.25">
      <c r="A42" s="13" t="s">
        <v>124</v>
      </c>
      <c r="B42" s="12" t="s">
        <v>417</v>
      </c>
      <c r="C42" s="12" t="s">
        <v>125</v>
      </c>
      <c r="D42" s="12" t="s">
        <v>126</v>
      </c>
      <c r="E42" s="12" t="b">
        <v>1</v>
      </c>
      <c r="F42" s="12">
        <v>0</v>
      </c>
      <c r="G42" s="12">
        <v>4</v>
      </c>
      <c r="H42" s="12">
        <v>0</v>
      </c>
    </row>
    <row r="43" spans="1:8" x14ac:dyDescent="0.25">
      <c r="A43" s="13" t="s">
        <v>127</v>
      </c>
      <c r="B43" s="12">
        <f>Data!$K$1:$K$52</f>
        <v>65.599999999999994</v>
      </c>
    </row>
    <row r="44" spans="1:8" x14ac:dyDescent="0.25">
      <c r="A44" s="13" t="s">
        <v>128</v>
      </c>
    </row>
    <row r="45" spans="1:8" x14ac:dyDescent="0.25">
      <c r="A45" s="13" t="s">
        <v>129</v>
      </c>
      <c r="B45" s="12" t="s">
        <v>418</v>
      </c>
      <c r="C45" s="12" t="s">
        <v>130</v>
      </c>
      <c r="D45" s="12" t="s">
        <v>131</v>
      </c>
      <c r="E45" s="12" t="b">
        <v>1</v>
      </c>
      <c r="F45" s="12">
        <v>0</v>
      </c>
      <c r="G45" s="12">
        <v>4</v>
      </c>
      <c r="H45" s="12">
        <v>0</v>
      </c>
    </row>
    <row r="46" spans="1:8" x14ac:dyDescent="0.25">
      <c r="A46" s="13" t="s">
        <v>132</v>
      </c>
      <c r="B46" s="12">
        <f>Data!$L$1:$L$52</f>
        <v>69.3</v>
      </c>
    </row>
    <row r="47" spans="1:8" x14ac:dyDescent="0.25">
      <c r="A47" s="13" t="s">
        <v>133</v>
      </c>
    </row>
    <row r="48" spans="1:8" x14ac:dyDescent="0.25">
      <c r="A48" s="13" t="s">
        <v>134</v>
      </c>
      <c r="B48" s="12" t="s">
        <v>419</v>
      </c>
      <c r="C48" s="12" t="s">
        <v>135</v>
      </c>
      <c r="D48" s="12" t="s">
        <v>136</v>
      </c>
      <c r="E48" s="12" t="b">
        <v>1</v>
      </c>
      <c r="F48" s="12">
        <v>0</v>
      </c>
      <c r="G48" s="12">
        <v>4</v>
      </c>
      <c r="H48" s="12">
        <v>0</v>
      </c>
    </row>
    <row r="49" spans="1:8" x14ac:dyDescent="0.25">
      <c r="A49" s="13" t="s">
        <v>137</v>
      </c>
      <c r="B49" s="12">
        <f>Data!$M$1:$M$52</f>
        <v>61.6</v>
      </c>
    </row>
    <row r="50" spans="1:8" x14ac:dyDescent="0.25">
      <c r="A50" s="13" t="s">
        <v>138</v>
      </c>
    </row>
    <row r="51" spans="1:8" x14ac:dyDescent="0.25">
      <c r="A51" s="13" t="s">
        <v>139</v>
      </c>
      <c r="B51" s="12" t="s">
        <v>420</v>
      </c>
      <c r="C51" s="12" t="s">
        <v>140</v>
      </c>
      <c r="D51" s="12" t="s">
        <v>141</v>
      </c>
      <c r="E51" s="12" t="b">
        <v>1</v>
      </c>
      <c r="F51" s="12">
        <v>0</v>
      </c>
      <c r="G51" s="12">
        <v>4</v>
      </c>
      <c r="H51" s="12">
        <v>0</v>
      </c>
    </row>
    <row r="52" spans="1:8" x14ac:dyDescent="0.25">
      <c r="A52" s="13" t="s">
        <v>142</v>
      </c>
      <c r="B52" s="12">
        <f>Data!$N$1:$N$52</f>
        <v>68</v>
      </c>
    </row>
    <row r="53" spans="1:8" x14ac:dyDescent="0.25">
      <c r="A53" s="13" t="s">
        <v>143</v>
      </c>
    </row>
    <row r="54" spans="1:8" x14ac:dyDescent="0.25">
      <c r="A54" s="13" t="s">
        <v>144</v>
      </c>
      <c r="B54" s="12" t="s">
        <v>421</v>
      </c>
      <c r="C54" s="12" t="s">
        <v>145</v>
      </c>
      <c r="D54" s="12" t="s">
        <v>146</v>
      </c>
      <c r="E54" s="12" t="b">
        <v>1</v>
      </c>
      <c r="F54" s="12">
        <v>0</v>
      </c>
      <c r="G54" s="12">
        <v>4</v>
      </c>
      <c r="H54" s="12">
        <v>0</v>
      </c>
    </row>
    <row r="55" spans="1:8" x14ac:dyDescent="0.25">
      <c r="A55" s="13" t="s">
        <v>147</v>
      </c>
      <c r="B55" s="12" t="e">
        <f>Data!$O$1:$O$52</f>
        <v>#VALUE!</v>
      </c>
    </row>
    <row r="56" spans="1:8" x14ac:dyDescent="0.25">
      <c r="A56" s="13" t="s">
        <v>148</v>
      </c>
    </row>
    <row r="57" spans="1:8" x14ac:dyDescent="0.25">
      <c r="A57" s="13" t="s">
        <v>149</v>
      </c>
      <c r="B57" s="12" t="s">
        <v>422</v>
      </c>
      <c r="C57" s="12" t="s">
        <v>150</v>
      </c>
      <c r="D57" s="12" t="s">
        <v>151</v>
      </c>
      <c r="E57" s="12" t="b">
        <v>1</v>
      </c>
      <c r="F57" s="12">
        <v>0</v>
      </c>
      <c r="G57" s="12">
        <v>4</v>
      </c>
      <c r="H57" s="12">
        <v>0</v>
      </c>
    </row>
    <row r="58" spans="1:8" x14ac:dyDescent="0.25">
      <c r="A58" s="13" t="s">
        <v>152</v>
      </c>
      <c r="B58" s="12" t="e">
        <f>Data!$P$1:$P$52</f>
        <v>#VALUE!</v>
      </c>
    </row>
    <row r="59" spans="1:8" x14ac:dyDescent="0.25">
      <c r="A59" s="13" t="s">
        <v>153</v>
      </c>
    </row>
    <row r="60" spans="1:8" x14ac:dyDescent="0.25">
      <c r="A60" s="13" t="s">
        <v>154</v>
      </c>
      <c r="B60" s="12" t="s">
        <v>423</v>
      </c>
      <c r="C60" s="12" t="s">
        <v>155</v>
      </c>
      <c r="D60" s="12" t="s">
        <v>156</v>
      </c>
      <c r="E60" s="12" t="b">
        <v>1</v>
      </c>
      <c r="F60" s="12">
        <v>0</v>
      </c>
      <c r="G60" s="12">
        <v>4</v>
      </c>
      <c r="H60" s="12">
        <v>0</v>
      </c>
    </row>
    <row r="61" spans="1:8" x14ac:dyDescent="0.25">
      <c r="A61" s="13" t="s">
        <v>157</v>
      </c>
      <c r="B61" s="12" t="e">
        <f>Data!$Q$1:$Q$52</f>
        <v>#VALUE!</v>
      </c>
    </row>
    <row r="62" spans="1:8" x14ac:dyDescent="0.25">
      <c r="A62" s="13" t="s">
        <v>158</v>
      </c>
    </row>
    <row r="63" spans="1:8" x14ac:dyDescent="0.25">
      <c r="A63" s="13" t="s">
        <v>159</v>
      </c>
      <c r="B63" s="12" t="s">
        <v>424</v>
      </c>
      <c r="C63" s="12" t="s">
        <v>160</v>
      </c>
      <c r="D63" s="12" t="s">
        <v>161</v>
      </c>
      <c r="E63" s="12" t="b">
        <v>1</v>
      </c>
      <c r="F63" s="12">
        <v>0</v>
      </c>
      <c r="G63" s="12">
        <v>4</v>
      </c>
      <c r="H63" s="12">
        <v>0</v>
      </c>
    </row>
    <row r="64" spans="1:8" x14ac:dyDescent="0.25">
      <c r="A64" s="13" t="s">
        <v>162</v>
      </c>
      <c r="B64" s="12" t="e">
        <f>Data!$R$1:$R$52</f>
        <v>#VALUE!</v>
      </c>
    </row>
    <row r="65" spans="1:8" x14ac:dyDescent="0.25">
      <c r="A65" s="13" t="s">
        <v>163</v>
      </c>
    </row>
    <row r="66" spans="1:8" x14ac:dyDescent="0.25">
      <c r="A66" s="13" t="s">
        <v>164</v>
      </c>
      <c r="B66" s="12" t="s">
        <v>425</v>
      </c>
      <c r="C66" s="12" t="s">
        <v>165</v>
      </c>
      <c r="D66" s="12" t="s">
        <v>166</v>
      </c>
      <c r="E66" s="12" t="b">
        <v>1</v>
      </c>
      <c r="F66" s="12">
        <v>0</v>
      </c>
      <c r="G66" s="12">
        <v>4</v>
      </c>
      <c r="H66" s="12">
        <v>0</v>
      </c>
    </row>
    <row r="67" spans="1:8" x14ac:dyDescent="0.25">
      <c r="A67" s="13" t="s">
        <v>167</v>
      </c>
      <c r="B67" s="12" t="e">
        <f>Data!$S$1:$S$52</f>
        <v>#VALUE!</v>
      </c>
    </row>
    <row r="68" spans="1:8" x14ac:dyDescent="0.25">
      <c r="A68" s="13" t="s">
        <v>168</v>
      </c>
    </row>
    <row r="69" spans="1:8" x14ac:dyDescent="0.25">
      <c r="A69" s="13" t="s">
        <v>169</v>
      </c>
      <c r="B69" s="12" t="s">
        <v>426</v>
      </c>
      <c r="C69" s="12" t="s">
        <v>170</v>
      </c>
      <c r="D69" s="12" t="s">
        <v>171</v>
      </c>
      <c r="E69" s="12" t="b">
        <v>1</v>
      </c>
      <c r="F69" s="12">
        <v>0</v>
      </c>
      <c r="G69" s="12">
        <v>4</v>
      </c>
      <c r="H69" s="12">
        <v>0</v>
      </c>
    </row>
    <row r="70" spans="1:8" x14ac:dyDescent="0.25">
      <c r="A70" s="13" t="s">
        <v>172</v>
      </c>
      <c r="B70" s="12" t="e">
        <f>Data!$T$1:$T$52</f>
        <v>#VALUE!</v>
      </c>
    </row>
    <row r="71" spans="1:8" x14ac:dyDescent="0.25">
      <c r="A71" s="13" t="s">
        <v>173</v>
      </c>
    </row>
    <row r="72" spans="1:8" x14ac:dyDescent="0.25">
      <c r="A72" s="13" t="s">
        <v>174</v>
      </c>
      <c r="B72" s="12" t="s">
        <v>427</v>
      </c>
      <c r="C72" s="12" t="s">
        <v>175</v>
      </c>
      <c r="D72" s="12" t="s">
        <v>176</v>
      </c>
      <c r="E72" s="12" t="b">
        <v>1</v>
      </c>
      <c r="F72" s="12">
        <v>0</v>
      </c>
      <c r="G72" s="12">
        <v>4</v>
      </c>
      <c r="H72" s="12">
        <v>0</v>
      </c>
    </row>
    <row r="73" spans="1:8" x14ac:dyDescent="0.25">
      <c r="A73" s="13" t="s">
        <v>177</v>
      </c>
      <c r="B73" s="12" t="e">
        <f>Data!$U$1:$U$52</f>
        <v>#VALUE!</v>
      </c>
    </row>
    <row r="74" spans="1:8" x14ac:dyDescent="0.25">
      <c r="A74" s="13" t="s">
        <v>178</v>
      </c>
    </row>
    <row r="75" spans="1:8" x14ac:dyDescent="0.25">
      <c r="A75" s="13" t="s">
        <v>179</v>
      </c>
      <c r="B75" s="12" t="s">
        <v>428</v>
      </c>
      <c r="C75" s="12" t="s">
        <v>180</v>
      </c>
      <c r="D75" s="12" t="s">
        <v>181</v>
      </c>
      <c r="E75" s="12" t="b">
        <v>1</v>
      </c>
      <c r="F75" s="12">
        <v>0</v>
      </c>
      <c r="G75" s="12">
        <v>4</v>
      </c>
      <c r="H75" s="12">
        <v>0</v>
      </c>
    </row>
    <row r="76" spans="1:8" x14ac:dyDescent="0.25">
      <c r="A76" s="13" t="s">
        <v>182</v>
      </c>
      <c r="B76" s="12" t="e">
        <f>Data!$V$1:$V$52</f>
        <v>#VALUE!</v>
      </c>
    </row>
    <row r="77" spans="1:8" x14ac:dyDescent="0.25">
      <c r="A77" s="13" t="s">
        <v>183</v>
      </c>
    </row>
    <row r="78" spans="1:8" x14ac:dyDescent="0.25">
      <c r="A78" s="13" t="s">
        <v>184</v>
      </c>
      <c r="B78" s="12" t="s">
        <v>429</v>
      </c>
      <c r="C78" s="12" t="s">
        <v>185</v>
      </c>
      <c r="D78" s="12" t="s">
        <v>186</v>
      </c>
      <c r="E78" s="12" t="b">
        <v>1</v>
      </c>
      <c r="F78" s="12">
        <v>0</v>
      </c>
      <c r="G78" s="12">
        <v>4</v>
      </c>
      <c r="H78" s="12">
        <v>0</v>
      </c>
    </row>
    <row r="79" spans="1:8" x14ac:dyDescent="0.25">
      <c r="A79" s="13" t="s">
        <v>187</v>
      </c>
      <c r="B79" s="12" t="e">
        <f>Data!$W$1:$W$52</f>
        <v>#VALUE!</v>
      </c>
    </row>
    <row r="80" spans="1:8" x14ac:dyDescent="0.25">
      <c r="A80" s="13" t="s">
        <v>188</v>
      </c>
    </row>
    <row r="81" spans="1:8" x14ac:dyDescent="0.25">
      <c r="A81" s="13" t="s">
        <v>189</v>
      </c>
      <c r="B81" s="12" t="s">
        <v>430</v>
      </c>
      <c r="C81" s="12" t="s">
        <v>190</v>
      </c>
      <c r="D81" s="12" t="s">
        <v>191</v>
      </c>
      <c r="E81" s="12" t="b">
        <v>1</v>
      </c>
      <c r="F81" s="12">
        <v>0</v>
      </c>
      <c r="G81" s="12">
        <v>4</v>
      </c>
      <c r="H81" s="12">
        <v>0</v>
      </c>
    </row>
    <row r="82" spans="1:8" x14ac:dyDescent="0.25">
      <c r="A82" s="13" t="s">
        <v>192</v>
      </c>
      <c r="B82" s="12" t="e">
        <f>Data!$X$1:$X$52</f>
        <v>#VALUE!</v>
      </c>
    </row>
    <row r="83" spans="1:8" x14ac:dyDescent="0.25">
      <c r="A83" s="13" t="s">
        <v>193</v>
      </c>
    </row>
    <row r="84" spans="1:8" x14ac:dyDescent="0.25">
      <c r="A84" s="13" t="s">
        <v>194</v>
      </c>
      <c r="B84" s="12" t="s">
        <v>431</v>
      </c>
      <c r="C84" s="12" t="s">
        <v>195</v>
      </c>
      <c r="D84" s="12" t="s">
        <v>196</v>
      </c>
      <c r="E84" s="12" t="b">
        <v>1</v>
      </c>
      <c r="F84" s="12">
        <v>0</v>
      </c>
      <c r="G84" s="12">
        <v>4</v>
      </c>
      <c r="H84" s="12">
        <v>0</v>
      </c>
    </row>
    <row r="85" spans="1:8" x14ac:dyDescent="0.25">
      <c r="A85" s="13" t="s">
        <v>197</v>
      </c>
      <c r="B85" s="12" t="e">
        <f>Data!$Y$1:$Y$52</f>
        <v>#VALUE!</v>
      </c>
    </row>
    <row r="86" spans="1:8" x14ac:dyDescent="0.25">
      <c r="A86" s="13" t="s">
        <v>198</v>
      </c>
    </row>
    <row r="87" spans="1:8" x14ac:dyDescent="0.25">
      <c r="A87" s="13" t="s">
        <v>199</v>
      </c>
      <c r="B87" s="12" t="s">
        <v>432</v>
      </c>
      <c r="C87" s="12" t="s">
        <v>200</v>
      </c>
      <c r="D87" s="12" t="s">
        <v>201</v>
      </c>
      <c r="E87" s="12" t="b">
        <v>1</v>
      </c>
      <c r="F87" s="12">
        <v>0</v>
      </c>
      <c r="G87" s="12">
        <v>4</v>
      </c>
      <c r="H87" s="12">
        <v>0</v>
      </c>
    </row>
    <row r="88" spans="1:8" x14ac:dyDescent="0.25">
      <c r="A88" s="13" t="s">
        <v>202</v>
      </c>
      <c r="B88" s="12" t="e">
        <f>Data!$Z$1:$Z$52</f>
        <v>#VALUE!</v>
      </c>
    </row>
    <row r="89" spans="1:8" x14ac:dyDescent="0.25">
      <c r="A89" s="13" t="s">
        <v>203</v>
      </c>
    </row>
    <row r="90" spans="1:8" x14ac:dyDescent="0.25">
      <c r="A90" s="13" t="s">
        <v>275</v>
      </c>
      <c r="B90" s="12" t="s">
        <v>433</v>
      </c>
      <c r="C90" s="12" t="s">
        <v>276</v>
      </c>
      <c r="D90" s="12" t="s">
        <v>434</v>
      </c>
      <c r="E90" s="12" t="b">
        <v>1</v>
      </c>
      <c r="F90" s="12">
        <v>0</v>
      </c>
      <c r="G90" s="12">
        <v>4</v>
      </c>
      <c r="H90" s="12">
        <v>0</v>
      </c>
    </row>
    <row r="91" spans="1:8" x14ac:dyDescent="0.25">
      <c r="A91" s="13" t="s">
        <v>278</v>
      </c>
      <c r="B91" s="12" t="e">
        <f>Data!$AA$1:$AA$52</f>
        <v>#VALUE!</v>
      </c>
    </row>
    <row r="92" spans="1:8" x14ac:dyDescent="0.25">
      <c r="A92" s="13" t="s">
        <v>279</v>
      </c>
    </row>
    <row r="93" spans="1:8" x14ac:dyDescent="0.25">
      <c r="A93" s="13" t="s">
        <v>280</v>
      </c>
      <c r="B93" s="12" t="s">
        <v>435</v>
      </c>
      <c r="C93" s="12" t="s">
        <v>281</v>
      </c>
      <c r="D93" s="12" t="s">
        <v>436</v>
      </c>
      <c r="E93" s="12" t="b">
        <v>1</v>
      </c>
      <c r="F93" s="12">
        <v>0</v>
      </c>
      <c r="G93" s="12">
        <v>4</v>
      </c>
      <c r="H93" s="12">
        <v>0</v>
      </c>
    </row>
    <row r="94" spans="1:8" x14ac:dyDescent="0.25">
      <c r="A94" s="13" t="s">
        <v>283</v>
      </c>
      <c r="B94" s="12" t="e">
        <f>Data!$AB$1:$AB$52</f>
        <v>#VALUE!</v>
      </c>
    </row>
    <row r="95" spans="1:8" x14ac:dyDescent="0.25">
      <c r="A95" s="13" t="s">
        <v>284</v>
      </c>
    </row>
    <row r="96" spans="1:8" x14ac:dyDescent="0.25">
      <c r="A96" s="13" t="s">
        <v>285</v>
      </c>
      <c r="B96" s="12" t="s">
        <v>437</v>
      </c>
      <c r="C96" s="12" t="s">
        <v>286</v>
      </c>
      <c r="D96" s="12" t="s">
        <v>438</v>
      </c>
      <c r="E96" s="12" t="b">
        <v>1</v>
      </c>
      <c r="F96" s="12">
        <v>0</v>
      </c>
      <c r="G96" s="12">
        <v>4</v>
      </c>
      <c r="H96" s="12">
        <v>0</v>
      </c>
    </row>
    <row r="97" spans="1:8" x14ac:dyDescent="0.25">
      <c r="A97" s="13" t="s">
        <v>288</v>
      </c>
      <c r="B97" s="12" t="e">
        <f>Data!$AC$1:$AC$52</f>
        <v>#VALUE!</v>
      </c>
    </row>
    <row r="98" spans="1:8" x14ac:dyDescent="0.25">
      <c r="A98" s="13" t="s">
        <v>289</v>
      </c>
    </row>
    <row r="99" spans="1:8" x14ac:dyDescent="0.25">
      <c r="A99" s="13" t="s">
        <v>290</v>
      </c>
      <c r="B99" s="12" t="s">
        <v>439</v>
      </c>
      <c r="C99" s="12" t="s">
        <v>291</v>
      </c>
      <c r="D99" s="12" t="s">
        <v>440</v>
      </c>
      <c r="E99" s="12" t="b">
        <v>1</v>
      </c>
      <c r="F99" s="12">
        <v>0</v>
      </c>
      <c r="G99" s="12">
        <v>4</v>
      </c>
      <c r="H99" s="12">
        <v>0</v>
      </c>
    </row>
    <row r="100" spans="1:8" x14ac:dyDescent="0.25">
      <c r="A100" s="13" t="s">
        <v>293</v>
      </c>
      <c r="B100" s="12" t="e">
        <f>Data!$AD$1:$AD$52</f>
        <v>#VALUE!</v>
      </c>
    </row>
    <row r="101" spans="1:8" x14ac:dyDescent="0.25">
      <c r="A101" s="13" t="s">
        <v>294</v>
      </c>
    </row>
    <row r="102" spans="1:8" x14ac:dyDescent="0.25">
      <c r="A102" s="13" t="s">
        <v>295</v>
      </c>
      <c r="B102" s="12" t="s">
        <v>441</v>
      </c>
      <c r="C102" s="12" t="s">
        <v>296</v>
      </c>
      <c r="D102" s="12" t="s">
        <v>442</v>
      </c>
      <c r="E102" s="12" t="b">
        <v>1</v>
      </c>
      <c r="F102" s="12">
        <v>0</v>
      </c>
      <c r="G102" s="12">
        <v>4</v>
      </c>
      <c r="H102" s="12">
        <v>0</v>
      </c>
    </row>
    <row r="103" spans="1:8" x14ac:dyDescent="0.25">
      <c r="A103" s="13" t="s">
        <v>298</v>
      </c>
      <c r="B103" s="12" t="e">
        <f>Data!$AE$1:$AE$52</f>
        <v>#VALUE!</v>
      </c>
    </row>
    <row r="104" spans="1:8" x14ac:dyDescent="0.25">
      <c r="A104" s="13" t="s">
        <v>299</v>
      </c>
    </row>
    <row r="105" spans="1:8" x14ac:dyDescent="0.25">
      <c r="A105" s="13" t="s">
        <v>300</v>
      </c>
      <c r="B105" s="12" t="s">
        <v>443</v>
      </c>
      <c r="C105" s="12" t="s">
        <v>301</v>
      </c>
      <c r="D105" s="12" t="s">
        <v>444</v>
      </c>
      <c r="E105" s="12" t="b">
        <v>1</v>
      </c>
      <c r="F105" s="12">
        <v>0</v>
      </c>
      <c r="G105" s="12">
        <v>4</v>
      </c>
      <c r="H105" s="12">
        <v>0</v>
      </c>
    </row>
    <row r="106" spans="1:8" x14ac:dyDescent="0.25">
      <c r="A106" s="13" t="s">
        <v>303</v>
      </c>
      <c r="B106" s="12" t="e">
        <f>Data!$AF$1:$AF$52</f>
        <v>#VALUE!</v>
      </c>
    </row>
    <row r="107" spans="1:8" x14ac:dyDescent="0.25">
      <c r="A107" s="13" t="s">
        <v>304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86</vt:i4>
      </vt:variant>
    </vt:vector>
  </HeadingPairs>
  <TitlesOfParts>
    <vt:vector size="93" baseType="lpstr">
      <vt:lpstr>Source</vt:lpstr>
      <vt:lpstr>Data</vt:lpstr>
      <vt:lpstr>One Var Summary across States</vt:lpstr>
      <vt:lpstr>Data 2</vt:lpstr>
      <vt:lpstr>One Var Summary across Years</vt:lpstr>
      <vt:lpstr>_STDS_DG1DDCA125</vt:lpstr>
      <vt:lpstr>_STDS_DGDCBD82B</vt:lpstr>
      <vt:lpstr>ST_1984</vt:lpstr>
      <vt:lpstr>ST_1985</vt:lpstr>
      <vt:lpstr>ST_1986</vt:lpstr>
      <vt:lpstr>ST_1987</vt:lpstr>
      <vt:lpstr>ST_1988</vt:lpstr>
      <vt:lpstr>ST_1989</vt:lpstr>
      <vt:lpstr>ST_1990</vt:lpstr>
      <vt:lpstr>ST_1991</vt:lpstr>
      <vt:lpstr>ST_1992</vt:lpstr>
      <vt:lpstr>ST_1993</vt:lpstr>
      <vt:lpstr>ST_1994</vt:lpstr>
      <vt:lpstr>ST_1995</vt:lpstr>
      <vt:lpstr>ST_1996</vt:lpstr>
      <vt:lpstr>ST_1997</vt:lpstr>
      <vt:lpstr>ST_1998</vt:lpstr>
      <vt:lpstr>ST_1999</vt:lpstr>
      <vt:lpstr>ST_2000</vt:lpstr>
      <vt:lpstr>ST_2001</vt:lpstr>
      <vt:lpstr>ST_2002</vt:lpstr>
      <vt:lpstr>ST_2003</vt:lpstr>
      <vt:lpstr>ST_2004</vt:lpstr>
      <vt:lpstr>ST_2005</vt:lpstr>
      <vt:lpstr>ST_2006</vt:lpstr>
      <vt:lpstr>ST_2007</vt:lpstr>
      <vt:lpstr>ST_2008</vt:lpstr>
      <vt:lpstr>ST_2009</vt:lpstr>
      <vt:lpstr>ST_2010</vt:lpstr>
      <vt:lpstr>ST_2011</vt:lpstr>
      <vt:lpstr>ST_2012</vt:lpstr>
      <vt:lpstr>ST_2013</vt:lpstr>
      <vt:lpstr>ST_2014</vt:lpstr>
      <vt:lpstr>ST_Alabama</vt:lpstr>
      <vt:lpstr>ST_Alaska</vt:lpstr>
      <vt:lpstr>ST_Arizona</vt:lpstr>
      <vt:lpstr>ST_Arkansas</vt:lpstr>
      <vt:lpstr>ST_California</vt:lpstr>
      <vt:lpstr>ST_Colorado</vt:lpstr>
      <vt:lpstr>ST_Connecticut</vt:lpstr>
      <vt:lpstr>ST_Delaware</vt:lpstr>
      <vt:lpstr>ST_DistofColumbia</vt:lpstr>
      <vt:lpstr>ST_Florida</vt:lpstr>
      <vt:lpstr>ST_Georgia</vt:lpstr>
      <vt:lpstr>ST_Hawaii</vt:lpstr>
      <vt:lpstr>ST_Idaho</vt:lpstr>
      <vt:lpstr>ST_Illinois</vt:lpstr>
      <vt:lpstr>ST_Indiana</vt:lpstr>
      <vt:lpstr>ST_Iowa</vt:lpstr>
      <vt:lpstr>ST_Kansas</vt:lpstr>
      <vt:lpstr>ST_Kentucky</vt:lpstr>
      <vt:lpstr>ST_Louisiana</vt:lpstr>
      <vt:lpstr>ST_Maine</vt:lpstr>
      <vt:lpstr>ST_Maryland</vt:lpstr>
      <vt:lpstr>ST_Massachusetts</vt:lpstr>
      <vt:lpstr>ST_Michigan</vt:lpstr>
      <vt:lpstr>ST_Minnesota</vt:lpstr>
      <vt:lpstr>ST_Mississippi</vt:lpstr>
      <vt:lpstr>ST_Missouri</vt:lpstr>
      <vt:lpstr>ST_Montana</vt:lpstr>
      <vt:lpstr>ST_Nebraska</vt:lpstr>
      <vt:lpstr>ST_Nevada</vt:lpstr>
      <vt:lpstr>ST_NewHampshire</vt:lpstr>
      <vt:lpstr>ST_NewJersey</vt:lpstr>
      <vt:lpstr>ST_NewMexico</vt:lpstr>
      <vt:lpstr>ST_NewYork</vt:lpstr>
      <vt:lpstr>ST_NorthCarolina</vt:lpstr>
      <vt:lpstr>ST_NorthDakota</vt:lpstr>
      <vt:lpstr>ST_Ohio</vt:lpstr>
      <vt:lpstr>ST_Oklahoma</vt:lpstr>
      <vt:lpstr>ST_Oregon</vt:lpstr>
      <vt:lpstr>ST_Pennsylvania</vt:lpstr>
      <vt:lpstr>ST_RhodeIsland</vt:lpstr>
      <vt:lpstr>ST_SouthCarolina</vt:lpstr>
      <vt:lpstr>ST_SouthDakota</vt:lpstr>
      <vt:lpstr>ST_State</vt:lpstr>
      <vt:lpstr>ST_Tennessee</vt:lpstr>
      <vt:lpstr>ST_Texas</vt:lpstr>
      <vt:lpstr>ST_Utah</vt:lpstr>
      <vt:lpstr>ST_Vermont</vt:lpstr>
      <vt:lpstr>ST_Virginia</vt:lpstr>
      <vt:lpstr>ST_Washington</vt:lpstr>
      <vt:lpstr>ST_WestVirginia</vt:lpstr>
      <vt:lpstr>ST_Wisconsin</vt:lpstr>
      <vt:lpstr>ST_Wyoming</vt:lpstr>
      <vt:lpstr>ST_Year</vt:lpstr>
      <vt:lpstr>'One Var Summary across States'!StatToolsHeader</vt:lpstr>
      <vt:lpstr>'One Var Summary across Years'!StatToolsHeader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2007-05-15T19:08:03Z</dcterms:created>
  <dcterms:modified xsi:type="dcterms:W3CDTF">2016-01-23T20:41:52Z</dcterms:modified>
</cp:coreProperties>
</file>