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queryTables/queryTable2.xml" ContentType="application/vnd.openxmlformats-officedocument.spreadsheetml.queryTable+xml"/>
  <Override PartName="/xl/comments2.xml" ContentType="application/vnd.openxmlformats-officedocument.spreadsheetml.comments+xml"/>
  <Override PartName="/xl/pivotTables/pivotTable1.xml" ContentType="application/vnd.openxmlformats-officedocument.spreadsheetml.pivotTable+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showPivotChartFilter="1"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2" r:id="rId1"/>
    <sheet name="Data" sheetId="1" r:id="rId2"/>
    <sheet name="_STDS_DG11E4ABC5" sheetId="3" state="hidden" r:id="rId3"/>
    <sheet name="Correlations" sheetId="4" r:id="rId4"/>
    <sheet name="Data with Quartiles" sheetId="5" r:id="rId5"/>
    <sheet name="Pivot Table" sheetId="6" r:id="rId6"/>
  </sheets>
  <definedNames>
    <definedName name="NBA_2009" localSheetId="1">Data!$A$3:$S$33</definedName>
    <definedName name="NBA_2009" localSheetId="4">'Data with Quartiles'!$A$3:$S$33</definedName>
    <definedName name="NBA_2010" localSheetId="1">Data!#REF!</definedName>
    <definedName name="NBA_2010" localSheetId="4">'Data with Quartiles'!#REF!</definedName>
    <definedName name="PalisadeReportWorksheetCreatedBy" localSheetId="3" hidden="1">"StatTools"</definedName>
    <definedName name="ST_3P" localSheetId="4">'Data with Quartiles'!$I$4:$I$153</definedName>
    <definedName name="ST_3P">Data!$I$4:$I$153</definedName>
    <definedName name="ST_3PA" localSheetId="4">'Data with Quartiles'!$J$4:$J$153</definedName>
    <definedName name="ST_3PA">Data!$J$4:$J$153</definedName>
    <definedName name="ST_AST" localSheetId="4">'Data with Quartiles'!$O$4:$O$153</definedName>
    <definedName name="ST_AST">Data!$O$4:$O$153</definedName>
    <definedName name="ST_BLK" localSheetId="4">'Data with Quartiles'!$Q$4:$Q$153</definedName>
    <definedName name="ST_BLK">Data!$Q$4:$Q$153</definedName>
    <definedName name="ST_DRB" localSheetId="4">'Data with Quartiles'!$N$4:$N$153</definedName>
    <definedName name="ST_DRB">Data!$N$4:$N$153</definedName>
    <definedName name="ST_FG" localSheetId="4">'Data with Quartiles'!$G$4:$G$153</definedName>
    <definedName name="ST_FG">Data!$G$4:$G$153</definedName>
    <definedName name="ST_FGA" localSheetId="4">'Data with Quartiles'!$H$4:$H$153</definedName>
    <definedName name="ST_FGA">Data!$H$4:$H$153</definedName>
    <definedName name="ST_FT" localSheetId="4">'Data with Quartiles'!$K$4:$K$153</definedName>
    <definedName name="ST_FT">Data!$K$4:$K$153</definedName>
    <definedName name="ST_FTA" localSheetId="4">'Data with Quartiles'!$L$4:$L$153</definedName>
    <definedName name="ST_FTA">Data!$L$4:$L$153</definedName>
    <definedName name="ST_Losses" localSheetId="4">'Data with Quartiles'!$D$4:$D$153</definedName>
    <definedName name="ST_Losses">Data!$D$4:$D$153</definedName>
    <definedName name="ST_O3P" localSheetId="4">'Data with Quartiles'!$W$4:$W$153</definedName>
    <definedName name="ST_O3P">Data!$W$4:$W$153</definedName>
    <definedName name="ST_O3PA" localSheetId="4">'Data with Quartiles'!$X$4:$X$153</definedName>
    <definedName name="ST_O3PA">Data!$X$4:$X$153</definedName>
    <definedName name="ST_OAST" localSheetId="4">'Data with Quartiles'!$AC$4:$AC$153</definedName>
    <definedName name="ST_OAST">Data!$AC$4:$AC$153</definedName>
    <definedName name="ST_OBLK" localSheetId="4">'Data with Quartiles'!$AE$4:$AE$153</definedName>
    <definedName name="ST_OBLK">Data!$AE$4:$AE$153</definedName>
    <definedName name="ST_ODRB" localSheetId="4">'Data with Quartiles'!$AB$4:$AB$153</definedName>
    <definedName name="ST_ODRB">Data!$AB$4:$AB$153</definedName>
    <definedName name="ST_OFG" localSheetId="4">'Data with Quartiles'!$U$4:$U$153</definedName>
    <definedName name="ST_OFG">Data!$U$4:$U$153</definedName>
    <definedName name="ST_OFGA" localSheetId="4">'Data with Quartiles'!$V$4:$V$153</definedName>
    <definedName name="ST_OFGA">Data!$V$4:$V$153</definedName>
    <definedName name="ST_OFT" localSheetId="4">'Data with Quartiles'!$Y$4:$Y$153</definedName>
    <definedName name="ST_OFT">Data!$Y$4:$Y$153</definedName>
    <definedName name="ST_OFTA" localSheetId="4">'Data with Quartiles'!$Z$4:$Z$153</definedName>
    <definedName name="ST_OFTA">Data!$Z$4:$Z$153</definedName>
    <definedName name="ST_OORB" localSheetId="4">'Data with Quartiles'!$AA$4:$AA$153</definedName>
    <definedName name="ST_OORB">Data!$AA$4:$AA$153</definedName>
    <definedName name="ST_OPF" localSheetId="4">'Data with Quartiles'!$AG$4:$AG$153</definedName>
    <definedName name="ST_OPF">Data!$AG$4:$AG$153</definedName>
    <definedName name="ST_OPTS" localSheetId="4">'Data with Quartiles'!$AH$4:$AH$153</definedName>
    <definedName name="ST_OPTS">Data!$AH$4:$AH$153</definedName>
    <definedName name="ST_ORB" localSheetId="4">'Data with Quartiles'!$M$4:$M$153</definedName>
    <definedName name="ST_ORB">Data!$M$4:$M$153</definedName>
    <definedName name="ST_OSTL" localSheetId="4">'Data with Quartiles'!$AD$4:$AD$153</definedName>
    <definedName name="ST_OSTL">Data!$AD$4:$AD$153</definedName>
    <definedName name="ST_OTOV" localSheetId="4">'Data with Quartiles'!$AF$4:$AF$153</definedName>
    <definedName name="ST_OTOV">Data!$AF$4:$AF$153</definedName>
    <definedName name="ST_PF" localSheetId="4">'Data with Quartiles'!$S$4:$S$153</definedName>
    <definedName name="ST_PF">Data!$S$4:$S$153</definedName>
    <definedName name="ST_Playoffteam" localSheetId="4">'Data with Quartiles'!$E$4:$E$153</definedName>
    <definedName name="ST_Playoffteam">Data!$E$4:$E$153</definedName>
    <definedName name="ST_PTS" localSheetId="4">'Data with Quartiles'!$T$4:$T$153</definedName>
    <definedName name="ST_PTS">Data!$T$4:$T$153</definedName>
    <definedName name="ST_SRS" localSheetId="4">'Data with Quartiles'!$F$4:$F$153</definedName>
    <definedName name="ST_SRS">Data!$F$4:$F$153</definedName>
    <definedName name="ST_STL" localSheetId="4">'Data with Quartiles'!$P$4:$P$153</definedName>
    <definedName name="ST_STL">Data!$P$4:$P$153</definedName>
    <definedName name="ST_Team" localSheetId="4">'Data with Quartiles'!$A$4:$A$153</definedName>
    <definedName name="ST_Team">Data!$A$4:$A$153</definedName>
    <definedName name="ST_TOV" localSheetId="4">'Data with Quartiles'!$R$4:$R$153</definedName>
    <definedName name="ST_TOV">Data!$R$4:$R$153</definedName>
    <definedName name="ST_Wins" localSheetId="4">'Data with Quartiles'!$C$4:$C$153</definedName>
    <definedName name="ST_Wins">Data!$C$4:$C$153</definedName>
    <definedName name="ST_Year" localSheetId="4">'Data with Quartiles'!$B$4:$B$153</definedName>
    <definedName name="ST_Year">Data!$B$4:$B$153</definedName>
    <definedName name="StatToolsHeader" localSheetId="3">Correlations!$1:$5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29</definedName>
    <definedName name="STWBD_StatToolsCorrAndCovar_VariableList_1" hidden="1">"U_x0001_VG2DCA63D06B0EA7B_x0001_"</definedName>
    <definedName name="STWBD_StatToolsCorrAndCovar_VariableList_10" hidden="1">"U_x0001_VG37DEB2FA1325FD70_x0001_"</definedName>
    <definedName name="STWBD_StatToolsCorrAndCovar_VariableList_11" hidden="1">"U_x0001_VG2280EB762D9F9709_x0001_"</definedName>
    <definedName name="STWBD_StatToolsCorrAndCovar_VariableList_12" hidden="1">"U_x0001_VG2D9949C12E404628_x0001_"</definedName>
    <definedName name="STWBD_StatToolsCorrAndCovar_VariableList_13" hidden="1">"U_x0001_VG26D566A81D09FFE6_x0001_"</definedName>
    <definedName name="STWBD_StatToolsCorrAndCovar_VariableList_14" hidden="1">"U_x0001_VG1D39E5737CFC764_x0001_"</definedName>
    <definedName name="STWBD_StatToolsCorrAndCovar_VariableList_15" hidden="1">"U_x0001_VG20B15C7A36582E63_x0001_"</definedName>
    <definedName name="STWBD_StatToolsCorrAndCovar_VariableList_16" hidden="1">"U_x0001_VG275F298422ED1A6F_x0001_"</definedName>
    <definedName name="STWBD_StatToolsCorrAndCovar_VariableList_17" hidden="1">"U_x0001_VGDD09626CDADF75_x0001_"</definedName>
    <definedName name="STWBD_StatToolsCorrAndCovar_VariableList_18" hidden="1">"U_x0001_VG37E1288D1A29A716_x0001_"</definedName>
    <definedName name="STWBD_StatToolsCorrAndCovar_VariableList_19" hidden="1">"U_x0001_VG33EF996A38B6EA81_x0001_"</definedName>
    <definedName name="STWBD_StatToolsCorrAndCovar_VariableList_2" hidden="1">"U_x0001_VG4C5AD4C536053C_x0001_"</definedName>
    <definedName name="STWBD_StatToolsCorrAndCovar_VariableList_20" hidden="1">"U_x0001_VGF99563235C332A_x0001_"</definedName>
    <definedName name="STWBD_StatToolsCorrAndCovar_VariableList_21" hidden="1">"U_x0001_VG1CF4DFF17817527_x0001_"</definedName>
    <definedName name="STWBD_StatToolsCorrAndCovar_VariableList_22" hidden="1">"U_x0001_VG291B3D44DEEEE8B_x0001_"</definedName>
    <definedName name="STWBD_StatToolsCorrAndCovar_VariableList_23" hidden="1">"U_x0001_VG31A76F391F756B89_x0001_"</definedName>
    <definedName name="STWBD_StatToolsCorrAndCovar_VariableList_24" hidden="1">"U_x0001_VG180911EB22E48FB0_x0001_"</definedName>
    <definedName name="STWBD_StatToolsCorrAndCovar_VariableList_25" hidden="1">"U_x0001_VG20D516FF12424F15_x0001_"</definedName>
    <definedName name="STWBD_StatToolsCorrAndCovar_VariableList_26" hidden="1">"U_x0001_VG1F1C612F6EDD2AF_x0001_"</definedName>
    <definedName name="STWBD_StatToolsCorrAndCovar_VariableList_27" hidden="1">"U_x0001_VG20A0DA232FA3EBCA_x0001_"</definedName>
    <definedName name="STWBD_StatToolsCorrAndCovar_VariableList_28" hidden="1">"U_x0001_VG325FE9323B0C58C3_x0001_"</definedName>
    <definedName name="STWBD_StatToolsCorrAndCovar_VariableList_29" hidden="1">"U_x0001_VG2646F0112469B401_x0001_"</definedName>
    <definedName name="STWBD_StatToolsCorrAndCovar_VariableList_3" hidden="1">"U_x0001_VG2990D5CE97A3ED1_x0001_"</definedName>
    <definedName name="STWBD_StatToolsCorrAndCovar_VariableList_4" hidden="1">"U_x0001_VG1419C0022FB74A9D_x0001_"</definedName>
    <definedName name="STWBD_StatToolsCorrAndCovar_VariableList_5" hidden="1">"U_x0001_VG151BFB9D2FDC60C_x0001_"</definedName>
    <definedName name="STWBD_StatToolsCorrAndCovar_VariableList_6" hidden="1">"U_x0001_VG139BCAD44BC671F_x0001_"</definedName>
    <definedName name="STWBD_StatToolsCorrAndCovar_VariableList_7" hidden="1">"U_x0001_VG4BAFB334C1EF75_x0001_"</definedName>
    <definedName name="STWBD_StatToolsCorrAndCovar_VariableList_8" hidden="1">"U_x0001_VG2A71C4151EC5B165_x0001_"</definedName>
    <definedName name="STWBD_StatToolsCorrAndCovar_VariableList_9" hidden="1">"U_x0001_VGB159D487049C06_x0001_"</definedName>
    <definedName name="STWBD_StatToolsCorrAndCovar_VarSelectorDefaultDataSet" hidden="1">"DG11E4ABC5"</definedName>
  </definedNames>
  <calcPr calcId="152511"/>
  <pivotCaches>
    <pivotCache cacheId="30" r:id="rId7"/>
  </pivotCaches>
</workbook>
</file>

<file path=xl/calcChain.xml><?xml version="1.0" encoding="utf-8"?>
<calcChain xmlns="http://schemas.openxmlformats.org/spreadsheetml/2006/main">
  <c r="AH153" i="5" l="1"/>
  <c r="AG153" i="5"/>
  <c r="AF153" i="5"/>
  <c r="AE153" i="5"/>
  <c r="AD153" i="5"/>
  <c r="AC153" i="5"/>
  <c r="AB153" i="5"/>
  <c r="AA153" i="5"/>
  <c r="Z153" i="5"/>
  <c r="Y153" i="5"/>
  <c r="X153" i="5"/>
  <c r="W153" i="5"/>
  <c r="V153" i="5"/>
  <c r="U153" i="5"/>
  <c r="T153" i="5"/>
  <c r="S153" i="5"/>
  <c r="R153" i="5"/>
  <c r="Q153" i="5"/>
  <c r="P153" i="5"/>
  <c r="O153" i="5"/>
  <c r="N153" i="5"/>
  <c r="M153" i="5"/>
  <c r="L153" i="5"/>
  <c r="K153" i="5"/>
  <c r="J153" i="5"/>
  <c r="I153" i="5"/>
  <c r="H153" i="5"/>
  <c r="G153" i="5"/>
  <c r="AH152" i="5"/>
  <c r="AG152" i="5"/>
  <c r="AF152" i="5"/>
  <c r="AE152" i="5"/>
  <c r="AD152" i="5"/>
  <c r="AC152" i="5"/>
  <c r="AB152" i="5"/>
  <c r="AA152" i="5"/>
  <c r="Z152" i="5"/>
  <c r="Y152" i="5"/>
  <c r="X152" i="5"/>
  <c r="W152" i="5"/>
  <c r="V152" i="5"/>
  <c r="U152" i="5"/>
  <c r="T152" i="5"/>
  <c r="S152" i="5"/>
  <c r="R152" i="5"/>
  <c r="Q152" i="5"/>
  <c r="P152" i="5"/>
  <c r="O152" i="5"/>
  <c r="N152" i="5"/>
  <c r="M152" i="5"/>
  <c r="L152" i="5"/>
  <c r="K152" i="5"/>
  <c r="J152" i="5"/>
  <c r="I152" i="5"/>
  <c r="H152" i="5"/>
  <c r="G152" i="5"/>
  <c r="AH151" i="5"/>
  <c r="AG151" i="5"/>
  <c r="AF151" i="5"/>
  <c r="AE151" i="5"/>
  <c r="AD151" i="5"/>
  <c r="AC151" i="5"/>
  <c r="AB151" i="5"/>
  <c r="AA151" i="5"/>
  <c r="Z151" i="5"/>
  <c r="Y151" i="5"/>
  <c r="X151" i="5"/>
  <c r="W151" i="5"/>
  <c r="V151" i="5"/>
  <c r="U151" i="5"/>
  <c r="T151" i="5"/>
  <c r="S151" i="5"/>
  <c r="R151" i="5"/>
  <c r="Q151" i="5"/>
  <c r="P151" i="5"/>
  <c r="O151" i="5"/>
  <c r="N151" i="5"/>
  <c r="M151" i="5"/>
  <c r="L151" i="5"/>
  <c r="K151" i="5"/>
  <c r="J151" i="5"/>
  <c r="I151" i="5"/>
  <c r="H151" i="5"/>
  <c r="G151" i="5"/>
  <c r="AH150" i="5"/>
  <c r="AG150" i="5"/>
  <c r="AF150" i="5"/>
  <c r="AE150" i="5"/>
  <c r="AD150" i="5"/>
  <c r="AC150" i="5"/>
  <c r="AB150" i="5"/>
  <c r="AA150" i="5"/>
  <c r="Z150" i="5"/>
  <c r="Y150" i="5"/>
  <c r="X150" i="5"/>
  <c r="W150" i="5"/>
  <c r="V150" i="5"/>
  <c r="U150" i="5"/>
  <c r="T150" i="5"/>
  <c r="S150" i="5"/>
  <c r="R150" i="5"/>
  <c r="Q150" i="5"/>
  <c r="P150" i="5"/>
  <c r="O150" i="5"/>
  <c r="N150" i="5"/>
  <c r="M150" i="5"/>
  <c r="L150" i="5"/>
  <c r="K150" i="5"/>
  <c r="J150" i="5"/>
  <c r="I150" i="5"/>
  <c r="H150" i="5"/>
  <c r="G150" i="5"/>
  <c r="AH149" i="5"/>
  <c r="AG149" i="5"/>
  <c r="AF149" i="5"/>
  <c r="AE149" i="5"/>
  <c r="AD149" i="5"/>
  <c r="AC149" i="5"/>
  <c r="AB149" i="5"/>
  <c r="AA149" i="5"/>
  <c r="Z149" i="5"/>
  <c r="Y149" i="5"/>
  <c r="X149" i="5"/>
  <c r="W149" i="5"/>
  <c r="V149" i="5"/>
  <c r="U149" i="5"/>
  <c r="T149" i="5"/>
  <c r="S149" i="5"/>
  <c r="R149" i="5"/>
  <c r="Q149" i="5"/>
  <c r="P149" i="5"/>
  <c r="O149" i="5"/>
  <c r="N149" i="5"/>
  <c r="M149" i="5"/>
  <c r="L149" i="5"/>
  <c r="K149" i="5"/>
  <c r="J149" i="5"/>
  <c r="I149" i="5"/>
  <c r="H149" i="5"/>
  <c r="G149" i="5"/>
  <c r="AH148" i="5"/>
  <c r="AG148" i="5"/>
  <c r="AF148" i="5"/>
  <c r="AE148" i="5"/>
  <c r="AD148" i="5"/>
  <c r="AC148" i="5"/>
  <c r="AB148" i="5"/>
  <c r="AA148" i="5"/>
  <c r="Z148" i="5"/>
  <c r="Y148" i="5"/>
  <c r="X148" i="5"/>
  <c r="W148" i="5"/>
  <c r="V148" i="5"/>
  <c r="U148" i="5"/>
  <c r="T148" i="5"/>
  <c r="S148" i="5"/>
  <c r="R148" i="5"/>
  <c r="Q148" i="5"/>
  <c r="P148" i="5"/>
  <c r="O148" i="5"/>
  <c r="N148" i="5"/>
  <c r="M148" i="5"/>
  <c r="L148" i="5"/>
  <c r="K148" i="5"/>
  <c r="J148" i="5"/>
  <c r="I148" i="5"/>
  <c r="H148" i="5"/>
  <c r="G148" i="5"/>
  <c r="AH147" i="5"/>
  <c r="AG147" i="5"/>
  <c r="AF147" i="5"/>
  <c r="AE147" i="5"/>
  <c r="AD147" i="5"/>
  <c r="AC147" i="5"/>
  <c r="AB147" i="5"/>
  <c r="AA147" i="5"/>
  <c r="Z147" i="5"/>
  <c r="Y147" i="5"/>
  <c r="X147" i="5"/>
  <c r="W147" i="5"/>
  <c r="V147" i="5"/>
  <c r="U147" i="5"/>
  <c r="T147" i="5"/>
  <c r="S147" i="5"/>
  <c r="R147" i="5"/>
  <c r="Q147" i="5"/>
  <c r="P147" i="5"/>
  <c r="O147" i="5"/>
  <c r="N147" i="5"/>
  <c r="M147" i="5"/>
  <c r="L147" i="5"/>
  <c r="K147" i="5"/>
  <c r="J147" i="5"/>
  <c r="I147" i="5"/>
  <c r="H147" i="5"/>
  <c r="G147" i="5"/>
  <c r="AH146" i="5"/>
  <c r="AG146" i="5"/>
  <c r="AF146" i="5"/>
  <c r="AE146" i="5"/>
  <c r="AD146" i="5"/>
  <c r="AC146" i="5"/>
  <c r="AB146" i="5"/>
  <c r="AA146" i="5"/>
  <c r="Z146" i="5"/>
  <c r="Y146" i="5"/>
  <c r="X146" i="5"/>
  <c r="W146" i="5"/>
  <c r="V146" i="5"/>
  <c r="U146" i="5"/>
  <c r="T146" i="5"/>
  <c r="S146" i="5"/>
  <c r="R146" i="5"/>
  <c r="Q146" i="5"/>
  <c r="P146" i="5"/>
  <c r="O146" i="5"/>
  <c r="N146" i="5"/>
  <c r="M146" i="5"/>
  <c r="L146" i="5"/>
  <c r="K146" i="5"/>
  <c r="J146" i="5"/>
  <c r="I146" i="5"/>
  <c r="H146" i="5"/>
  <c r="G146" i="5"/>
  <c r="AH145" i="5"/>
  <c r="AG145" i="5"/>
  <c r="AF145" i="5"/>
  <c r="AE145" i="5"/>
  <c r="AD145" i="5"/>
  <c r="AC145" i="5"/>
  <c r="AB145" i="5"/>
  <c r="AA145" i="5"/>
  <c r="Z145" i="5"/>
  <c r="Y145" i="5"/>
  <c r="X145" i="5"/>
  <c r="W145" i="5"/>
  <c r="V145" i="5"/>
  <c r="U145" i="5"/>
  <c r="T145" i="5"/>
  <c r="S145" i="5"/>
  <c r="R145" i="5"/>
  <c r="Q145" i="5"/>
  <c r="P145" i="5"/>
  <c r="O145" i="5"/>
  <c r="N145" i="5"/>
  <c r="M145" i="5"/>
  <c r="L145" i="5"/>
  <c r="K145" i="5"/>
  <c r="J145" i="5"/>
  <c r="I145" i="5"/>
  <c r="H145" i="5"/>
  <c r="G145" i="5"/>
  <c r="AH144" i="5"/>
  <c r="AG144" i="5"/>
  <c r="AF144" i="5"/>
  <c r="AE144" i="5"/>
  <c r="AD144" i="5"/>
  <c r="AC144" i="5"/>
  <c r="AB144" i="5"/>
  <c r="AA144" i="5"/>
  <c r="Z144" i="5"/>
  <c r="Y144" i="5"/>
  <c r="X144" i="5"/>
  <c r="W144" i="5"/>
  <c r="V144" i="5"/>
  <c r="U144" i="5"/>
  <c r="T144" i="5"/>
  <c r="S144" i="5"/>
  <c r="R144" i="5"/>
  <c r="Q144" i="5"/>
  <c r="P144" i="5"/>
  <c r="O144" i="5"/>
  <c r="N144" i="5"/>
  <c r="M144" i="5"/>
  <c r="L144" i="5"/>
  <c r="K144" i="5"/>
  <c r="J144" i="5"/>
  <c r="I144" i="5"/>
  <c r="H144" i="5"/>
  <c r="G144" i="5"/>
  <c r="AH143" i="5"/>
  <c r="AG143" i="5"/>
  <c r="AF143" i="5"/>
  <c r="AE143" i="5"/>
  <c r="AD143" i="5"/>
  <c r="AC143" i="5"/>
  <c r="AB143" i="5"/>
  <c r="AA143" i="5"/>
  <c r="Z143" i="5"/>
  <c r="Y143" i="5"/>
  <c r="X143" i="5"/>
  <c r="W143" i="5"/>
  <c r="V143" i="5"/>
  <c r="U143" i="5"/>
  <c r="T143" i="5"/>
  <c r="S143" i="5"/>
  <c r="R143" i="5"/>
  <c r="Q143" i="5"/>
  <c r="P143" i="5"/>
  <c r="O143" i="5"/>
  <c r="N143" i="5"/>
  <c r="M143" i="5"/>
  <c r="L143" i="5"/>
  <c r="K143" i="5"/>
  <c r="J143" i="5"/>
  <c r="I143" i="5"/>
  <c r="H143" i="5"/>
  <c r="G143" i="5"/>
  <c r="AH142" i="5"/>
  <c r="AG142" i="5"/>
  <c r="AF142" i="5"/>
  <c r="AE142" i="5"/>
  <c r="AD142" i="5"/>
  <c r="AC142" i="5"/>
  <c r="AB142" i="5"/>
  <c r="AA142" i="5"/>
  <c r="Z142" i="5"/>
  <c r="Y142" i="5"/>
  <c r="X142" i="5"/>
  <c r="W142" i="5"/>
  <c r="V142" i="5"/>
  <c r="U142" i="5"/>
  <c r="T142" i="5"/>
  <c r="S142" i="5"/>
  <c r="R142" i="5"/>
  <c r="Q142" i="5"/>
  <c r="P142" i="5"/>
  <c r="O142" i="5"/>
  <c r="N142" i="5"/>
  <c r="M142" i="5"/>
  <c r="L142" i="5"/>
  <c r="K142" i="5"/>
  <c r="J142" i="5"/>
  <c r="I142" i="5"/>
  <c r="H142" i="5"/>
  <c r="G142" i="5"/>
  <c r="AH141" i="5"/>
  <c r="AG141" i="5"/>
  <c r="AF141" i="5"/>
  <c r="AE141" i="5"/>
  <c r="AD141" i="5"/>
  <c r="AC141" i="5"/>
  <c r="AB141" i="5"/>
  <c r="AA141" i="5"/>
  <c r="Z141" i="5"/>
  <c r="Y141" i="5"/>
  <c r="X141" i="5"/>
  <c r="W141" i="5"/>
  <c r="V141" i="5"/>
  <c r="U141" i="5"/>
  <c r="T141" i="5"/>
  <c r="S141" i="5"/>
  <c r="R141" i="5"/>
  <c r="Q141" i="5"/>
  <c r="P141" i="5"/>
  <c r="O141" i="5"/>
  <c r="N141" i="5"/>
  <c r="M141" i="5"/>
  <c r="L141" i="5"/>
  <c r="K141" i="5"/>
  <c r="J141" i="5"/>
  <c r="I141" i="5"/>
  <c r="H141" i="5"/>
  <c r="G141" i="5"/>
  <c r="AH140" i="5"/>
  <c r="AG140" i="5"/>
  <c r="AF140" i="5"/>
  <c r="AE140" i="5"/>
  <c r="AD140" i="5"/>
  <c r="AC140" i="5"/>
  <c r="AB140" i="5"/>
  <c r="AA140" i="5"/>
  <c r="Z140" i="5"/>
  <c r="Y140" i="5"/>
  <c r="X140" i="5"/>
  <c r="W140" i="5"/>
  <c r="V140" i="5"/>
  <c r="U140" i="5"/>
  <c r="T140" i="5"/>
  <c r="S140" i="5"/>
  <c r="R140" i="5"/>
  <c r="Q140" i="5"/>
  <c r="P140" i="5"/>
  <c r="O140" i="5"/>
  <c r="N140" i="5"/>
  <c r="M140" i="5"/>
  <c r="L140" i="5"/>
  <c r="K140" i="5"/>
  <c r="J140" i="5"/>
  <c r="I140" i="5"/>
  <c r="H140" i="5"/>
  <c r="G140" i="5"/>
  <c r="AH139" i="5"/>
  <c r="AG139" i="5"/>
  <c r="AF139" i="5"/>
  <c r="AE139" i="5"/>
  <c r="AD139" i="5"/>
  <c r="AC139" i="5"/>
  <c r="AB139" i="5"/>
  <c r="AA139" i="5"/>
  <c r="Z139" i="5"/>
  <c r="Y139" i="5"/>
  <c r="X139" i="5"/>
  <c r="W139" i="5"/>
  <c r="V139" i="5"/>
  <c r="U139" i="5"/>
  <c r="T139" i="5"/>
  <c r="S139" i="5"/>
  <c r="R139" i="5"/>
  <c r="Q139" i="5"/>
  <c r="P139" i="5"/>
  <c r="O139" i="5"/>
  <c r="N139" i="5"/>
  <c r="M139" i="5"/>
  <c r="L139" i="5"/>
  <c r="K139" i="5"/>
  <c r="J139" i="5"/>
  <c r="I139" i="5"/>
  <c r="H139" i="5"/>
  <c r="G139" i="5"/>
  <c r="AH138" i="5"/>
  <c r="AG138" i="5"/>
  <c r="AF138" i="5"/>
  <c r="AE138" i="5"/>
  <c r="AD138" i="5"/>
  <c r="AC138" i="5"/>
  <c r="AB138" i="5"/>
  <c r="AA138" i="5"/>
  <c r="Z138" i="5"/>
  <c r="Y138" i="5"/>
  <c r="X138" i="5"/>
  <c r="W138" i="5"/>
  <c r="V138" i="5"/>
  <c r="U138" i="5"/>
  <c r="T138" i="5"/>
  <c r="S138" i="5"/>
  <c r="R138" i="5"/>
  <c r="Q138" i="5"/>
  <c r="P138" i="5"/>
  <c r="O138" i="5"/>
  <c r="N138" i="5"/>
  <c r="M138" i="5"/>
  <c r="L138" i="5"/>
  <c r="K138" i="5"/>
  <c r="J138" i="5"/>
  <c r="I138" i="5"/>
  <c r="H138" i="5"/>
  <c r="G138" i="5"/>
  <c r="AH137" i="5"/>
  <c r="AG137" i="5"/>
  <c r="AF137" i="5"/>
  <c r="AE137" i="5"/>
  <c r="AD137" i="5"/>
  <c r="AC137" i="5"/>
  <c r="AB137" i="5"/>
  <c r="AA137" i="5"/>
  <c r="Z137" i="5"/>
  <c r="Y137" i="5"/>
  <c r="X137" i="5"/>
  <c r="W137" i="5"/>
  <c r="V137" i="5"/>
  <c r="U137" i="5"/>
  <c r="T137" i="5"/>
  <c r="S137" i="5"/>
  <c r="R137" i="5"/>
  <c r="Q137" i="5"/>
  <c r="P137" i="5"/>
  <c r="O137" i="5"/>
  <c r="N137" i="5"/>
  <c r="M137" i="5"/>
  <c r="L137" i="5"/>
  <c r="K137" i="5"/>
  <c r="J137" i="5"/>
  <c r="I137" i="5"/>
  <c r="H137" i="5"/>
  <c r="G137" i="5"/>
  <c r="AH136" i="5"/>
  <c r="AG136" i="5"/>
  <c r="AF136" i="5"/>
  <c r="AE136" i="5"/>
  <c r="AD136" i="5"/>
  <c r="AC136" i="5"/>
  <c r="AB136" i="5"/>
  <c r="AA136" i="5"/>
  <c r="Z136" i="5"/>
  <c r="Y136" i="5"/>
  <c r="X136" i="5"/>
  <c r="W136" i="5"/>
  <c r="V136" i="5"/>
  <c r="U136" i="5"/>
  <c r="T136" i="5"/>
  <c r="S136" i="5"/>
  <c r="R136" i="5"/>
  <c r="Q136" i="5"/>
  <c r="P136" i="5"/>
  <c r="O136" i="5"/>
  <c r="N136" i="5"/>
  <c r="M136" i="5"/>
  <c r="L136" i="5"/>
  <c r="K136" i="5"/>
  <c r="J136" i="5"/>
  <c r="I136" i="5"/>
  <c r="H136" i="5"/>
  <c r="G136" i="5"/>
  <c r="AH135" i="5"/>
  <c r="AG135" i="5"/>
  <c r="AF135" i="5"/>
  <c r="AE135" i="5"/>
  <c r="AD135" i="5"/>
  <c r="AC135" i="5"/>
  <c r="AB135" i="5"/>
  <c r="AA135" i="5"/>
  <c r="Z135" i="5"/>
  <c r="Y135" i="5"/>
  <c r="X135" i="5"/>
  <c r="W135" i="5"/>
  <c r="V135" i="5"/>
  <c r="U135" i="5"/>
  <c r="T135" i="5"/>
  <c r="S135" i="5"/>
  <c r="R135" i="5"/>
  <c r="Q135" i="5"/>
  <c r="P135" i="5"/>
  <c r="O135" i="5"/>
  <c r="N135" i="5"/>
  <c r="M135" i="5"/>
  <c r="L135" i="5"/>
  <c r="K135" i="5"/>
  <c r="J135" i="5"/>
  <c r="I135" i="5"/>
  <c r="H135" i="5"/>
  <c r="G135" i="5"/>
  <c r="AH134" i="5"/>
  <c r="AG134" i="5"/>
  <c r="AF134" i="5"/>
  <c r="AE134" i="5"/>
  <c r="AD134" i="5"/>
  <c r="AC134" i="5"/>
  <c r="AB134" i="5"/>
  <c r="AA134" i="5"/>
  <c r="Z134" i="5"/>
  <c r="Y134" i="5"/>
  <c r="X134" i="5"/>
  <c r="W134" i="5"/>
  <c r="V134" i="5"/>
  <c r="U134" i="5"/>
  <c r="T134" i="5"/>
  <c r="S134" i="5"/>
  <c r="R134" i="5"/>
  <c r="Q134" i="5"/>
  <c r="P134" i="5"/>
  <c r="O134" i="5"/>
  <c r="N134" i="5"/>
  <c r="M134" i="5"/>
  <c r="L134" i="5"/>
  <c r="K134" i="5"/>
  <c r="J134" i="5"/>
  <c r="I134" i="5"/>
  <c r="H134" i="5"/>
  <c r="G134" i="5"/>
  <c r="AH133" i="5"/>
  <c r="AG133" i="5"/>
  <c r="AF133" i="5"/>
  <c r="AE133" i="5"/>
  <c r="AD133" i="5"/>
  <c r="AC133" i="5"/>
  <c r="AB133" i="5"/>
  <c r="AA133" i="5"/>
  <c r="Z133" i="5"/>
  <c r="Y133" i="5"/>
  <c r="X133" i="5"/>
  <c r="W133" i="5"/>
  <c r="V133" i="5"/>
  <c r="U133" i="5"/>
  <c r="T133" i="5"/>
  <c r="S133" i="5"/>
  <c r="R133" i="5"/>
  <c r="Q133" i="5"/>
  <c r="P133" i="5"/>
  <c r="O133" i="5"/>
  <c r="N133" i="5"/>
  <c r="M133" i="5"/>
  <c r="L133" i="5"/>
  <c r="K133" i="5"/>
  <c r="J133" i="5"/>
  <c r="I133" i="5"/>
  <c r="H133" i="5"/>
  <c r="G133" i="5"/>
  <c r="AH132" i="5"/>
  <c r="AG132" i="5"/>
  <c r="AF132" i="5"/>
  <c r="AE132" i="5"/>
  <c r="AD132" i="5"/>
  <c r="AC132" i="5"/>
  <c r="AB132" i="5"/>
  <c r="AA132" i="5"/>
  <c r="Z132" i="5"/>
  <c r="Y132" i="5"/>
  <c r="X132" i="5"/>
  <c r="W132" i="5"/>
  <c r="V132" i="5"/>
  <c r="U132" i="5"/>
  <c r="T132" i="5"/>
  <c r="S132" i="5"/>
  <c r="R132" i="5"/>
  <c r="Q132" i="5"/>
  <c r="P132" i="5"/>
  <c r="O132" i="5"/>
  <c r="N132" i="5"/>
  <c r="M132" i="5"/>
  <c r="L132" i="5"/>
  <c r="K132" i="5"/>
  <c r="J132" i="5"/>
  <c r="I132" i="5"/>
  <c r="H132" i="5"/>
  <c r="G132" i="5"/>
  <c r="AH131" i="5"/>
  <c r="AG131" i="5"/>
  <c r="AF131" i="5"/>
  <c r="AE131" i="5"/>
  <c r="AD131" i="5"/>
  <c r="AC131" i="5"/>
  <c r="AB131" i="5"/>
  <c r="AA131" i="5"/>
  <c r="Z131" i="5"/>
  <c r="Y131" i="5"/>
  <c r="X131" i="5"/>
  <c r="W131" i="5"/>
  <c r="V131" i="5"/>
  <c r="U131" i="5"/>
  <c r="T131" i="5"/>
  <c r="S131" i="5"/>
  <c r="R131" i="5"/>
  <c r="Q131" i="5"/>
  <c r="P131" i="5"/>
  <c r="O131" i="5"/>
  <c r="N131" i="5"/>
  <c r="M131" i="5"/>
  <c r="L131" i="5"/>
  <c r="K131" i="5"/>
  <c r="J131" i="5"/>
  <c r="I131" i="5"/>
  <c r="H131" i="5"/>
  <c r="G131" i="5"/>
  <c r="AH130" i="5"/>
  <c r="AG130" i="5"/>
  <c r="AF130" i="5"/>
  <c r="AE130" i="5"/>
  <c r="AD130" i="5"/>
  <c r="AC130" i="5"/>
  <c r="AB130" i="5"/>
  <c r="AA130" i="5"/>
  <c r="Z130" i="5"/>
  <c r="Y130" i="5"/>
  <c r="X130" i="5"/>
  <c r="W130" i="5"/>
  <c r="V130" i="5"/>
  <c r="U130" i="5"/>
  <c r="T130" i="5"/>
  <c r="S130" i="5"/>
  <c r="R130" i="5"/>
  <c r="Q130" i="5"/>
  <c r="P130" i="5"/>
  <c r="O130" i="5"/>
  <c r="N130" i="5"/>
  <c r="M130" i="5"/>
  <c r="L130" i="5"/>
  <c r="K130" i="5"/>
  <c r="J130" i="5"/>
  <c r="I130" i="5"/>
  <c r="H130" i="5"/>
  <c r="G130" i="5"/>
  <c r="AH129" i="5"/>
  <c r="AG129" i="5"/>
  <c r="AF129" i="5"/>
  <c r="AE129" i="5"/>
  <c r="AD129" i="5"/>
  <c r="AC129" i="5"/>
  <c r="AB129" i="5"/>
  <c r="AA129" i="5"/>
  <c r="Z129" i="5"/>
  <c r="Y129" i="5"/>
  <c r="X129" i="5"/>
  <c r="W129" i="5"/>
  <c r="V129" i="5"/>
  <c r="U129" i="5"/>
  <c r="T129" i="5"/>
  <c r="S129" i="5"/>
  <c r="R129" i="5"/>
  <c r="Q129" i="5"/>
  <c r="P129" i="5"/>
  <c r="O129" i="5"/>
  <c r="N129" i="5"/>
  <c r="M129" i="5"/>
  <c r="L129" i="5"/>
  <c r="K129" i="5"/>
  <c r="J129" i="5"/>
  <c r="I129" i="5"/>
  <c r="H129" i="5"/>
  <c r="G129" i="5"/>
  <c r="AH128" i="5"/>
  <c r="AG128" i="5"/>
  <c r="AF128" i="5"/>
  <c r="AE128" i="5"/>
  <c r="AD128" i="5"/>
  <c r="AC128" i="5"/>
  <c r="AB128" i="5"/>
  <c r="AA128" i="5"/>
  <c r="Z128" i="5"/>
  <c r="Y128" i="5"/>
  <c r="X128" i="5"/>
  <c r="W128" i="5"/>
  <c r="V128" i="5"/>
  <c r="U128" i="5"/>
  <c r="T128" i="5"/>
  <c r="S128" i="5"/>
  <c r="R128" i="5"/>
  <c r="Q128" i="5"/>
  <c r="P128" i="5"/>
  <c r="O128" i="5"/>
  <c r="N128" i="5"/>
  <c r="M128" i="5"/>
  <c r="L128" i="5"/>
  <c r="K128" i="5"/>
  <c r="J128" i="5"/>
  <c r="I128" i="5"/>
  <c r="H128" i="5"/>
  <c r="G128" i="5"/>
  <c r="AH127" i="5"/>
  <c r="AG127" i="5"/>
  <c r="AF127" i="5"/>
  <c r="AE127" i="5"/>
  <c r="AD127" i="5"/>
  <c r="AC127" i="5"/>
  <c r="AB127" i="5"/>
  <c r="AA127" i="5"/>
  <c r="Z127" i="5"/>
  <c r="Y127" i="5"/>
  <c r="X127" i="5"/>
  <c r="W127" i="5"/>
  <c r="V127" i="5"/>
  <c r="U127" i="5"/>
  <c r="T127" i="5"/>
  <c r="S127" i="5"/>
  <c r="R127" i="5"/>
  <c r="Q127" i="5"/>
  <c r="P127" i="5"/>
  <c r="O127" i="5"/>
  <c r="N127" i="5"/>
  <c r="M127" i="5"/>
  <c r="L127" i="5"/>
  <c r="K127" i="5"/>
  <c r="J127" i="5"/>
  <c r="I127" i="5"/>
  <c r="H127" i="5"/>
  <c r="G127" i="5"/>
  <c r="AH126" i="5"/>
  <c r="AG126" i="5"/>
  <c r="AF126" i="5"/>
  <c r="AE126" i="5"/>
  <c r="AD126" i="5"/>
  <c r="AC126" i="5"/>
  <c r="AB126" i="5"/>
  <c r="AA126" i="5"/>
  <c r="Z126" i="5"/>
  <c r="Y126" i="5"/>
  <c r="X126" i="5"/>
  <c r="W126" i="5"/>
  <c r="V126" i="5"/>
  <c r="U126" i="5"/>
  <c r="T126" i="5"/>
  <c r="S126" i="5"/>
  <c r="R126" i="5"/>
  <c r="Q126" i="5"/>
  <c r="P126" i="5"/>
  <c r="O126" i="5"/>
  <c r="N126" i="5"/>
  <c r="M126" i="5"/>
  <c r="L126" i="5"/>
  <c r="K126" i="5"/>
  <c r="J126" i="5"/>
  <c r="I126" i="5"/>
  <c r="H126" i="5"/>
  <c r="G126" i="5"/>
  <c r="AH125" i="5"/>
  <c r="AG125" i="5"/>
  <c r="AF125" i="5"/>
  <c r="AE125" i="5"/>
  <c r="AD125" i="5"/>
  <c r="AC125" i="5"/>
  <c r="AB125" i="5"/>
  <c r="AA125" i="5"/>
  <c r="Z125" i="5"/>
  <c r="Y125" i="5"/>
  <c r="X125" i="5"/>
  <c r="W125" i="5"/>
  <c r="V125" i="5"/>
  <c r="U125" i="5"/>
  <c r="T125" i="5"/>
  <c r="S125" i="5"/>
  <c r="R125" i="5"/>
  <c r="Q125" i="5"/>
  <c r="P125" i="5"/>
  <c r="O125" i="5"/>
  <c r="N125" i="5"/>
  <c r="M125" i="5"/>
  <c r="L125" i="5"/>
  <c r="K125" i="5"/>
  <c r="J125" i="5"/>
  <c r="I125" i="5"/>
  <c r="H125" i="5"/>
  <c r="G125" i="5"/>
  <c r="AH124" i="5"/>
  <c r="AG124" i="5"/>
  <c r="AF124" i="5"/>
  <c r="AE124" i="5"/>
  <c r="AD124" i="5"/>
  <c r="AC124" i="5"/>
  <c r="AB124" i="5"/>
  <c r="AA124" i="5"/>
  <c r="Z124" i="5"/>
  <c r="Y124" i="5"/>
  <c r="X124" i="5"/>
  <c r="W124" i="5"/>
  <c r="V124" i="5"/>
  <c r="U124" i="5"/>
  <c r="T124" i="5"/>
  <c r="S124" i="5"/>
  <c r="R124" i="5"/>
  <c r="Q124" i="5"/>
  <c r="P124" i="5"/>
  <c r="O124" i="5"/>
  <c r="N124" i="5"/>
  <c r="M124" i="5"/>
  <c r="L124" i="5"/>
  <c r="K124" i="5"/>
  <c r="J124" i="5"/>
  <c r="I124" i="5"/>
  <c r="H124" i="5"/>
  <c r="G124" i="5"/>
  <c r="AH123" i="5"/>
  <c r="AG123" i="5"/>
  <c r="AF123" i="5"/>
  <c r="AE123" i="5"/>
  <c r="AD123" i="5"/>
  <c r="AC123" i="5"/>
  <c r="AB123" i="5"/>
  <c r="AA123" i="5"/>
  <c r="Z123" i="5"/>
  <c r="Y123" i="5"/>
  <c r="X123" i="5"/>
  <c r="W123" i="5"/>
  <c r="V123" i="5"/>
  <c r="U123" i="5"/>
  <c r="T123" i="5"/>
  <c r="S123" i="5"/>
  <c r="R123" i="5"/>
  <c r="Q123" i="5"/>
  <c r="P123" i="5"/>
  <c r="O123" i="5"/>
  <c r="N123" i="5"/>
  <c r="M123" i="5"/>
  <c r="L123" i="5"/>
  <c r="K123" i="5"/>
  <c r="J123" i="5"/>
  <c r="I123" i="5"/>
  <c r="H123" i="5"/>
  <c r="G123" i="5"/>
  <c r="AH122" i="5"/>
  <c r="AG122" i="5"/>
  <c r="AF122" i="5"/>
  <c r="AE122" i="5"/>
  <c r="AD122" i="5"/>
  <c r="AC122" i="5"/>
  <c r="AB122" i="5"/>
  <c r="AA122" i="5"/>
  <c r="Z122" i="5"/>
  <c r="Y122" i="5"/>
  <c r="X122" i="5"/>
  <c r="W122" i="5"/>
  <c r="V122" i="5"/>
  <c r="U122" i="5"/>
  <c r="T122" i="5"/>
  <c r="S122" i="5"/>
  <c r="R122" i="5"/>
  <c r="Q122" i="5"/>
  <c r="P122" i="5"/>
  <c r="O122" i="5"/>
  <c r="N122" i="5"/>
  <c r="M122" i="5"/>
  <c r="L122" i="5"/>
  <c r="K122" i="5"/>
  <c r="J122" i="5"/>
  <c r="I122" i="5"/>
  <c r="H122" i="5"/>
  <c r="G122" i="5"/>
  <c r="AH121" i="5"/>
  <c r="AG121" i="5"/>
  <c r="AF121" i="5"/>
  <c r="AE121" i="5"/>
  <c r="AD121" i="5"/>
  <c r="AC121" i="5"/>
  <c r="AB121" i="5"/>
  <c r="AA121" i="5"/>
  <c r="Z121" i="5"/>
  <c r="Y121" i="5"/>
  <c r="X121" i="5"/>
  <c r="W121" i="5"/>
  <c r="V121" i="5"/>
  <c r="U121" i="5"/>
  <c r="T121" i="5"/>
  <c r="S121" i="5"/>
  <c r="R121" i="5"/>
  <c r="Q121" i="5"/>
  <c r="P121" i="5"/>
  <c r="O121" i="5"/>
  <c r="N121" i="5"/>
  <c r="M121" i="5"/>
  <c r="L121" i="5"/>
  <c r="K121" i="5"/>
  <c r="J121" i="5"/>
  <c r="I121" i="5"/>
  <c r="H121" i="5"/>
  <c r="G121" i="5"/>
  <c r="AH120" i="5"/>
  <c r="AG120" i="5"/>
  <c r="AF120" i="5"/>
  <c r="AE120" i="5"/>
  <c r="AD120" i="5"/>
  <c r="AC120" i="5"/>
  <c r="AB120" i="5"/>
  <c r="AA120" i="5"/>
  <c r="Z120" i="5"/>
  <c r="Y120" i="5"/>
  <c r="X120" i="5"/>
  <c r="W120" i="5"/>
  <c r="V120" i="5"/>
  <c r="U120" i="5"/>
  <c r="T120" i="5"/>
  <c r="S120" i="5"/>
  <c r="R120" i="5"/>
  <c r="Q120" i="5"/>
  <c r="P120" i="5"/>
  <c r="O120" i="5"/>
  <c r="N120" i="5"/>
  <c r="M120" i="5"/>
  <c r="L120" i="5"/>
  <c r="K120" i="5"/>
  <c r="J120" i="5"/>
  <c r="I120" i="5"/>
  <c r="H120" i="5"/>
  <c r="G120" i="5"/>
  <c r="AH119" i="5"/>
  <c r="AG119" i="5"/>
  <c r="AF119" i="5"/>
  <c r="AE119" i="5"/>
  <c r="AD119" i="5"/>
  <c r="AC119" i="5"/>
  <c r="AB119" i="5"/>
  <c r="AA119" i="5"/>
  <c r="Z119" i="5"/>
  <c r="Y119" i="5"/>
  <c r="X119" i="5"/>
  <c r="W119" i="5"/>
  <c r="V119" i="5"/>
  <c r="U119" i="5"/>
  <c r="T119" i="5"/>
  <c r="S119" i="5"/>
  <c r="R119" i="5"/>
  <c r="Q119" i="5"/>
  <c r="P119" i="5"/>
  <c r="O119" i="5"/>
  <c r="N119" i="5"/>
  <c r="M119" i="5"/>
  <c r="L119" i="5"/>
  <c r="K119" i="5"/>
  <c r="J119" i="5"/>
  <c r="I119" i="5"/>
  <c r="H119" i="5"/>
  <c r="G119" i="5"/>
  <c r="AH118" i="5"/>
  <c r="AG118" i="5"/>
  <c r="AF118" i="5"/>
  <c r="AE118" i="5"/>
  <c r="AD118" i="5"/>
  <c r="AC118" i="5"/>
  <c r="AB118" i="5"/>
  <c r="AA118" i="5"/>
  <c r="Z118" i="5"/>
  <c r="Y118" i="5"/>
  <c r="X118" i="5"/>
  <c r="W118" i="5"/>
  <c r="V118" i="5"/>
  <c r="U118" i="5"/>
  <c r="T118" i="5"/>
  <c r="S118" i="5"/>
  <c r="R118" i="5"/>
  <c r="Q118" i="5"/>
  <c r="P118" i="5"/>
  <c r="O118" i="5"/>
  <c r="N118" i="5"/>
  <c r="M118" i="5"/>
  <c r="L118" i="5"/>
  <c r="K118" i="5"/>
  <c r="J118" i="5"/>
  <c r="I118" i="5"/>
  <c r="H118" i="5"/>
  <c r="G118" i="5"/>
  <c r="AH117" i="5"/>
  <c r="AG117" i="5"/>
  <c r="AF117" i="5"/>
  <c r="AE117" i="5"/>
  <c r="AD117" i="5"/>
  <c r="AC117" i="5"/>
  <c r="AB117" i="5"/>
  <c r="AA117" i="5"/>
  <c r="Z117" i="5"/>
  <c r="Y117" i="5"/>
  <c r="X117" i="5"/>
  <c r="W117" i="5"/>
  <c r="V117" i="5"/>
  <c r="U117" i="5"/>
  <c r="T117" i="5"/>
  <c r="S117" i="5"/>
  <c r="R117" i="5"/>
  <c r="Q117" i="5"/>
  <c r="P117" i="5"/>
  <c r="O117" i="5"/>
  <c r="N117" i="5"/>
  <c r="M117" i="5"/>
  <c r="L117" i="5"/>
  <c r="K117" i="5"/>
  <c r="J117" i="5"/>
  <c r="I117" i="5"/>
  <c r="H117" i="5"/>
  <c r="G117" i="5"/>
  <c r="AH116" i="5"/>
  <c r="AG116" i="5"/>
  <c r="AF116" i="5"/>
  <c r="AE116" i="5"/>
  <c r="AD116" i="5"/>
  <c r="AC116" i="5"/>
  <c r="AB116" i="5"/>
  <c r="AA116" i="5"/>
  <c r="Z116" i="5"/>
  <c r="Y116" i="5"/>
  <c r="X116" i="5"/>
  <c r="W116" i="5"/>
  <c r="V116" i="5"/>
  <c r="U116" i="5"/>
  <c r="T116" i="5"/>
  <c r="S116" i="5"/>
  <c r="R116" i="5"/>
  <c r="Q116" i="5"/>
  <c r="P116" i="5"/>
  <c r="O116" i="5"/>
  <c r="N116" i="5"/>
  <c r="M116" i="5"/>
  <c r="L116" i="5"/>
  <c r="K116" i="5"/>
  <c r="J116" i="5"/>
  <c r="I116" i="5"/>
  <c r="H116" i="5"/>
  <c r="G116" i="5"/>
  <c r="AH115" i="5"/>
  <c r="AG115" i="5"/>
  <c r="AF115" i="5"/>
  <c r="AE115" i="5"/>
  <c r="AD115" i="5"/>
  <c r="AC115" i="5"/>
  <c r="AB115" i="5"/>
  <c r="AA115" i="5"/>
  <c r="Z115" i="5"/>
  <c r="Y115" i="5"/>
  <c r="X115" i="5"/>
  <c r="W115" i="5"/>
  <c r="V115" i="5"/>
  <c r="U115" i="5"/>
  <c r="T115" i="5"/>
  <c r="S115" i="5"/>
  <c r="R115" i="5"/>
  <c r="Q115" i="5"/>
  <c r="P115" i="5"/>
  <c r="O115" i="5"/>
  <c r="N115" i="5"/>
  <c r="M115" i="5"/>
  <c r="L115" i="5"/>
  <c r="K115" i="5"/>
  <c r="J115" i="5"/>
  <c r="I115" i="5"/>
  <c r="H115" i="5"/>
  <c r="G115" i="5"/>
  <c r="AH114" i="5"/>
  <c r="AG114" i="5"/>
  <c r="AF114" i="5"/>
  <c r="AE114" i="5"/>
  <c r="AD114" i="5"/>
  <c r="AC114" i="5"/>
  <c r="AB114" i="5"/>
  <c r="AA114" i="5"/>
  <c r="Z114" i="5"/>
  <c r="Y114" i="5"/>
  <c r="X114" i="5"/>
  <c r="W114" i="5"/>
  <c r="V114" i="5"/>
  <c r="U114" i="5"/>
  <c r="T114" i="5"/>
  <c r="S114" i="5"/>
  <c r="R114" i="5"/>
  <c r="Q114" i="5"/>
  <c r="P114" i="5"/>
  <c r="O114" i="5"/>
  <c r="N114" i="5"/>
  <c r="M114" i="5"/>
  <c r="L114" i="5"/>
  <c r="K114" i="5"/>
  <c r="J114" i="5"/>
  <c r="I114" i="5"/>
  <c r="H114" i="5"/>
  <c r="G114" i="5"/>
  <c r="AH113" i="5"/>
  <c r="AG113" i="5"/>
  <c r="AF113" i="5"/>
  <c r="AE113" i="5"/>
  <c r="AD113" i="5"/>
  <c r="AC113" i="5"/>
  <c r="AB113" i="5"/>
  <c r="AA113" i="5"/>
  <c r="Z113" i="5"/>
  <c r="Y113" i="5"/>
  <c r="X113" i="5"/>
  <c r="W113" i="5"/>
  <c r="V113" i="5"/>
  <c r="U113" i="5"/>
  <c r="T113" i="5"/>
  <c r="S113" i="5"/>
  <c r="R113" i="5"/>
  <c r="Q113" i="5"/>
  <c r="P113" i="5"/>
  <c r="O113" i="5"/>
  <c r="N113" i="5"/>
  <c r="M113" i="5"/>
  <c r="L113" i="5"/>
  <c r="K113" i="5"/>
  <c r="J113" i="5"/>
  <c r="I113" i="5"/>
  <c r="H113" i="5"/>
  <c r="G113" i="5"/>
  <c r="AH112" i="5"/>
  <c r="AG112" i="5"/>
  <c r="AF112" i="5"/>
  <c r="AE112" i="5"/>
  <c r="AD112" i="5"/>
  <c r="AC112" i="5"/>
  <c r="AB112" i="5"/>
  <c r="AA112" i="5"/>
  <c r="Z112" i="5"/>
  <c r="Y112" i="5"/>
  <c r="X112" i="5"/>
  <c r="W112" i="5"/>
  <c r="V112" i="5"/>
  <c r="U112" i="5"/>
  <c r="T112" i="5"/>
  <c r="S112" i="5"/>
  <c r="R112" i="5"/>
  <c r="Q112" i="5"/>
  <c r="P112" i="5"/>
  <c r="O112" i="5"/>
  <c r="N112" i="5"/>
  <c r="M112" i="5"/>
  <c r="L112" i="5"/>
  <c r="K112" i="5"/>
  <c r="J112" i="5"/>
  <c r="I112" i="5"/>
  <c r="H112" i="5"/>
  <c r="G112" i="5"/>
  <c r="AH111" i="5"/>
  <c r="AG111" i="5"/>
  <c r="AF111" i="5"/>
  <c r="AE111" i="5"/>
  <c r="AD111" i="5"/>
  <c r="AC111" i="5"/>
  <c r="AB111" i="5"/>
  <c r="AA111" i="5"/>
  <c r="Z111" i="5"/>
  <c r="Y111" i="5"/>
  <c r="X111" i="5"/>
  <c r="W111" i="5"/>
  <c r="V111" i="5"/>
  <c r="U111" i="5"/>
  <c r="T111" i="5"/>
  <c r="S111" i="5"/>
  <c r="R111" i="5"/>
  <c r="Q111" i="5"/>
  <c r="P111" i="5"/>
  <c r="O111" i="5"/>
  <c r="N111" i="5"/>
  <c r="M111" i="5"/>
  <c r="L111" i="5"/>
  <c r="K111" i="5"/>
  <c r="J111" i="5"/>
  <c r="I111" i="5"/>
  <c r="H111" i="5"/>
  <c r="G111" i="5"/>
  <c r="AH110" i="5"/>
  <c r="AG110" i="5"/>
  <c r="AF110" i="5"/>
  <c r="AE110" i="5"/>
  <c r="AD110" i="5"/>
  <c r="AC110" i="5"/>
  <c r="AB110" i="5"/>
  <c r="AA110" i="5"/>
  <c r="Z110" i="5"/>
  <c r="Y110" i="5"/>
  <c r="X110" i="5"/>
  <c r="W110" i="5"/>
  <c r="V110" i="5"/>
  <c r="U110" i="5"/>
  <c r="T110" i="5"/>
  <c r="S110" i="5"/>
  <c r="R110" i="5"/>
  <c r="Q110" i="5"/>
  <c r="P110" i="5"/>
  <c r="O110" i="5"/>
  <c r="N110" i="5"/>
  <c r="M110" i="5"/>
  <c r="L110" i="5"/>
  <c r="K110" i="5"/>
  <c r="J110" i="5"/>
  <c r="I110" i="5"/>
  <c r="H110" i="5"/>
  <c r="G110" i="5"/>
  <c r="AH109" i="5"/>
  <c r="AG109" i="5"/>
  <c r="AF109" i="5"/>
  <c r="AE109" i="5"/>
  <c r="AD109" i="5"/>
  <c r="AC109" i="5"/>
  <c r="AB109" i="5"/>
  <c r="AA109" i="5"/>
  <c r="Z109" i="5"/>
  <c r="Y109" i="5"/>
  <c r="X109" i="5"/>
  <c r="W109" i="5"/>
  <c r="V109" i="5"/>
  <c r="U109" i="5"/>
  <c r="T109" i="5"/>
  <c r="S109" i="5"/>
  <c r="R109" i="5"/>
  <c r="Q109" i="5"/>
  <c r="P109" i="5"/>
  <c r="O109" i="5"/>
  <c r="N109" i="5"/>
  <c r="M109" i="5"/>
  <c r="L109" i="5"/>
  <c r="K109" i="5"/>
  <c r="J109" i="5"/>
  <c r="I109" i="5"/>
  <c r="H109" i="5"/>
  <c r="G109" i="5"/>
  <c r="AH108" i="5"/>
  <c r="AG108" i="5"/>
  <c r="AF108" i="5"/>
  <c r="AE108" i="5"/>
  <c r="AD108" i="5"/>
  <c r="AC108" i="5"/>
  <c r="AB108" i="5"/>
  <c r="AA108" i="5"/>
  <c r="Z108" i="5"/>
  <c r="Y108" i="5"/>
  <c r="X108" i="5"/>
  <c r="W108" i="5"/>
  <c r="V108" i="5"/>
  <c r="U108" i="5"/>
  <c r="T108" i="5"/>
  <c r="S108" i="5"/>
  <c r="R108" i="5"/>
  <c r="Q108" i="5"/>
  <c r="P108" i="5"/>
  <c r="O108" i="5"/>
  <c r="N108" i="5"/>
  <c r="M108" i="5"/>
  <c r="L108" i="5"/>
  <c r="K108" i="5"/>
  <c r="J108" i="5"/>
  <c r="I108" i="5"/>
  <c r="H108" i="5"/>
  <c r="G108" i="5"/>
  <c r="AH107" i="5"/>
  <c r="AG107" i="5"/>
  <c r="AF107" i="5"/>
  <c r="AE107" i="5"/>
  <c r="AD107" i="5"/>
  <c r="AC107" i="5"/>
  <c r="AB107" i="5"/>
  <c r="AA107" i="5"/>
  <c r="Z107" i="5"/>
  <c r="Y107" i="5"/>
  <c r="X107" i="5"/>
  <c r="W107" i="5"/>
  <c r="V107" i="5"/>
  <c r="U107" i="5"/>
  <c r="T107" i="5"/>
  <c r="S107" i="5"/>
  <c r="R107" i="5"/>
  <c r="Q107" i="5"/>
  <c r="P107" i="5"/>
  <c r="O107" i="5"/>
  <c r="N107" i="5"/>
  <c r="M107" i="5"/>
  <c r="L107" i="5"/>
  <c r="K107" i="5"/>
  <c r="J107" i="5"/>
  <c r="I107" i="5"/>
  <c r="H107" i="5"/>
  <c r="G107" i="5"/>
  <c r="AH106" i="5"/>
  <c r="AG106" i="5"/>
  <c r="AF106" i="5"/>
  <c r="AE106" i="5"/>
  <c r="AD106" i="5"/>
  <c r="AC106" i="5"/>
  <c r="AB106" i="5"/>
  <c r="AA106" i="5"/>
  <c r="Z106" i="5"/>
  <c r="Y106" i="5"/>
  <c r="X106" i="5"/>
  <c r="W106" i="5"/>
  <c r="V106" i="5"/>
  <c r="U106" i="5"/>
  <c r="T106" i="5"/>
  <c r="S106" i="5"/>
  <c r="R106" i="5"/>
  <c r="Q106" i="5"/>
  <c r="P106" i="5"/>
  <c r="O106" i="5"/>
  <c r="N106" i="5"/>
  <c r="M106" i="5"/>
  <c r="L106" i="5"/>
  <c r="K106" i="5"/>
  <c r="J106" i="5"/>
  <c r="I106" i="5"/>
  <c r="H106" i="5"/>
  <c r="G106" i="5"/>
  <c r="AH105" i="5"/>
  <c r="AG105" i="5"/>
  <c r="AF105" i="5"/>
  <c r="AE105" i="5"/>
  <c r="AD105" i="5"/>
  <c r="AC105" i="5"/>
  <c r="AB105" i="5"/>
  <c r="AA105" i="5"/>
  <c r="Z105" i="5"/>
  <c r="Y105" i="5"/>
  <c r="X105" i="5"/>
  <c r="W105" i="5"/>
  <c r="V105" i="5"/>
  <c r="U105" i="5"/>
  <c r="T105" i="5"/>
  <c r="S105" i="5"/>
  <c r="R105" i="5"/>
  <c r="Q105" i="5"/>
  <c r="P105" i="5"/>
  <c r="O105" i="5"/>
  <c r="N105" i="5"/>
  <c r="M105" i="5"/>
  <c r="L105" i="5"/>
  <c r="K105" i="5"/>
  <c r="J105" i="5"/>
  <c r="I105" i="5"/>
  <c r="H105" i="5"/>
  <c r="G105" i="5"/>
  <c r="AH104" i="5"/>
  <c r="AG104" i="5"/>
  <c r="AF104" i="5"/>
  <c r="AE104" i="5"/>
  <c r="AD104" i="5"/>
  <c r="AC104" i="5"/>
  <c r="AB104" i="5"/>
  <c r="AA104" i="5"/>
  <c r="Z104" i="5"/>
  <c r="Y104" i="5"/>
  <c r="X104" i="5"/>
  <c r="W104" i="5"/>
  <c r="V104" i="5"/>
  <c r="U104" i="5"/>
  <c r="T104" i="5"/>
  <c r="S104" i="5"/>
  <c r="R104" i="5"/>
  <c r="Q104" i="5"/>
  <c r="P104" i="5"/>
  <c r="O104" i="5"/>
  <c r="N104" i="5"/>
  <c r="M104" i="5"/>
  <c r="L104" i="5"/>
  <c r="K104" i="5"/>
  <c r="J104" i="5"/>
  <c r="I104" i="5"/>
  <c r="H104" i="5"/>
  <c r="G104" i="5"/>
  <c r="AH103" i="5"/>
  <c r="AG103" i="5"/>
  <c r="AF103" i="5"/>
  <c r="AE103" i="5"/>
  <c r="AD103" i="5"/>
  <c r="AC103" i="5"/>
  <c r="AB103" i="5"/>
  <c r="AA103" i="5"/>
  <c r="Z103" i="5"/>
  <c r="Y103" i="5"/>
  <c r="X103" i="5"/>
  <c r="W103" i="5"/>
  <c r="V103" i="5"/>
  <c r="U103" i="5"/>
  <c r="T103" i="5"/>
  <c r="S103" i="5"/>
  <c r="R103" i="5"/>
  <c r="Q103" i="5"/>
  <c r="P103" i="5"/>
  <c r="O103" i="5"/>
  <c r="N103" i="5"/>
  <c r="M103" i="5"/>
  <c r="L103" i="5"/>
  <c r="K103" i="5"/>
  <c r="J103" i="5"/>
  <c r="I103" i="5"/>
  <c r="H103" i="5"/>
  <c r="G103" i="5"/>
  <c r="AH102" i="5"/>
  <c r="AG102" i="5"/>
  <c r="AF102" i="5"/>
  <c r="AE102" i="5"/>
  <c r="AD102" i="5"/>
  <c r="AC102" i="5"/>
  <c r="AB102" i="5"/>
  <c r="AA102" i="5"/>
  <c r="Z102" i="5"/>
  <c r="Y102" i="5"/>
  <c r="X102" i="5"/>
  <c r="W102" i="5"/>
  <c r="V102" i="5"/>
  <c r="U102" i="5"/>
  <c r="T102" i="5"/>
  <c r="S102" i="5"/>
  <c r="R102" i="5"/>
  <c r="Q102" i="5"/>
  <c r="P102" i="5"/>
  <c r="O102" i="5"/>
  <c r="N102" i="5"/>
  <c r="M102" i="5"/>
  <c r="L102" i="5"/>
  <c r="K102" i="5"/>
  <c r="J102" i="5"/>
  <c r="I102" i="5"/>
  <c r="H102" i="5"/>
  <c r="G102" i="5"/>
  <c r="AH101" i="5"/>
  <c r="AG101" i="5"/>
  <c r="AF101" i="5"/>
  <c r="AE101" i="5"/>
  <c r="AD101" i="5"/>
  <c r="AC101" i="5"/>
  <c r="AB101" i="5"/>
  <c r="AA101" i="5"/>
  <c r="Z101" i="5"/>
  <c r="Y101" i="5"/>
  <c r="X101" i="5"/>
  <c r="W101" i="5"/>
  <c r="V101" i="5"/>
  <c r="U101" i="5"/>
  <c r="T101" i="5"/>
  <c r="S101" i="5"/>
  <c r="R101" i="5"/>
  <c r="Q101" i="5"/>
  <c r="P101" i="5"/>
  <c r="O101" i="5"/>
  <c r="N101" i="5"/>
  <c r="M101" i="5"/>
  <c r="L101" i="5"/>
  <c r="K101" i="5"/>
  <c r="J101" i="5"/>
  <c r="I101" i="5"/>
  <c r="H101" i="5"/>
  <c r="G101" i="5"/>
  <c r="AH100" i="5"/>
  <c r="AG100" i="5"/>
  <c r="AF100" i="5"/>
  <c r="AE100" i="5"/>
  <c r="AD100" i="5"/>
  <c r="AC100" i="5"/>
  <c r="AB100" i="5"/>
  <c r="AA100" i="5"/>
  <c r="Z100" i="5"/>
  <c r="Y100" i="5"/>
  <c r="X100" i="5"/>
  <c r="W100" i="5"/>
  <c r="V100" i="5"/>
  <c r="U100" i="5"/>
  <c r="T100" i="5"/>
  <c r="S100" i="5"/>
  <c r="R100" i="5"/>
  <c r="Q100" i="5"/>
  <c r="P100" i="5"/>
  <c r="O100" i="5"/>
  <c r="N100" i="5"/>
  <c r="M100" i="5"/>
  <c r="L100" i="5"/>
  <c r="K100" i="5"/>
  <c r="J100" i="5"/>
  <c r="I100" i="5"/>
  <c r="H100" i="5"/>
  <c r="G100" i="5"/>
  <c r="AH99" i="5"/>
  <c r="AG99" i="5"/>
  <c r="AF99" i="5"/>
  <c r="AE99" i="5"/>
  <c r="AD99" i="5"/>
  <c r="AC99" i="5"/>
  <c r="AB99" i="5"/>
  <c r="AA99" i="5"/>
  <c r="Z99" i="5"/>
  <c r="Y99" i="5"/>
  <c r="X99" i="5"/>
  <c r="W99" i="5"/>
  <c r="V99" i="5"/>
  <c r="U99" i="5"/>
  <c r="T99" i="5"/>
  <c r="S99" i="5"/>
  <c r="R99" i="5"/>
  <c r="Q99" i="5"/>
  <c r="P99" i="5"/>
  <c r="O99" i="5"/>
  <c r="N99" i="5"/>
  <c r="M99" i="5"/>
  <c r="L99" i="5"/>
  <c r="K99" i="5"/>
  <c r="J99" i="5"/>
  <c r="I99" i="5"/>
  <c r="H99" i="5"/>
  <c r="G99" i="5"/>
  <c r="AH98" i="5"/>
  <c r="AG98" i="5"/>
  <c r="AF98" i="5"/>
  <c r="AE98" i="5"/>
  <c r="AD98" i="5"/>
  <c r="AC98" i="5"/>
  <c r="AB98" i="5"/>
  <c r="AA98" i="5"/>
  <c r="Z98" i="5"/>
  <c r="Y98" i="5"/>
  <c r="X98" i="5"/>
  <c r="W98" i="5"/>
  <c r="V98" i="5"/>
  <c r="U98" i="5"/>
  <c r="T98" i="5"/>
  <c r="S98" i="5"/>
  <c r="R98" i="5"/>
  <c r="Q98" i="5"/>
  <c r="P98" i="5"/>
  <c r="O98" i="5"/>
  <c r="N98" i="5"/>
  <c r="M98" i="5"/>
  <c r="L98" i="5"/>
  <c r="K98" i="5"/>
  <c r="J98" i="5"/>
  <c r="I98" i="5"/>
  <c r="H98" i="5"/>
  <c r="G98" i="5"/>
  <c r="AH97" i="5"/>
  <c r="AG97" i="5"/>
  <c r="AF97" i="5"/>
  <c r="AE97" i="5"/>
  <c r="AD97" i="5"/>
  <c r="AC97" i="5"/>
  <c r="AB97" i="5"/>
  <c r="AA97" i="5"/>
  <c r="Z97" i="5"/>
  <c r="Y97" i="5"/>
  <c r="X97" i="5"/>
  <c r="W97" i="5"/>
  <c r="V97" i="5"/>
  <c r="U97" i="5"/>
  <c r="T97" i="5"/>
  <c r="S97" i="5"/>
  <c r="R97" i="5"/>
  <c r="Q97" i="5"/>
  <c r="P97" i="5"/>
  <c r="O97" i="5"/>
  <c r="N97" i="5"/>
  <c r="M97" i="5"/>
  <c r="L97" i="5"/>
  <c r="K97" i="5"/>
  <c r="J97" i="5"/>
  <c r="I97" i="5"/>
  <c r="H97" i="5"/>
  <c r="G97" i="5"/>
  <c r="AH96" i="5"/>
  <c r="AG96" i="5"/>
  <c r="AF96" i="5"/>
  <c r="AE96" i="5"/>
  <c r="AD96" i="5"/>
  <c r="AC96" i="5"/>
  <c r="AB96" i="5"/>
  <c r="AA96" i="5"/>
  <c r="Z96" i="5"/>
  <c r="Y96" i="5"/>
  <c r="X96" i="5"/>
  <c r="W96" i="5"/>
  <c r="V96" i="5"/>
  <c r="U96" i="5"/>
  <c r="T96" i="5"/>
  <c r="S96" i="5"/>
  <c r="R96" i="5"/>
  <c r="Q96" i="5"/>
  <c r="P96" i="5"/>
  <c r="O96" i="5"/>
  <c r="N96" i="5"/>
  <c r="M96" i="5"/>
  <c r="L96" i="5"/>
  <c r="K96" i="5"/>
  <c r="J96" i="5"/>
  <c r="I96" i="5"/>
  <c r="H96" i="5"/>
  <c r="G96" i="5"/>
  <c r="AH95" i="5"/>
  <c r="AG95" i="5"/>
  <c r="AF95" i="5"/>
  <c r="AE95" i="5"/>
  <c r="AD95" i="5"/>
  <c r="AC95" i="5"/>
  <c r="AB95" i="5"/>
  <c r="AA95" i="5"/>
  <c r="Z95" i="5"/>
  <c r="Y95" i="5"/>
  <c r="X95" i="5"/>
  <c r="W95" i="5"/>
  <c r="V95" i="5"/>
  <c r="U95" i="5"/>
  <c r="T95" i="5"/>
  <c r="S95" i="5"/>
  <c r="R95" i="5"/>
  <c r="Q95" i="5"/>
  <c r="P95" i="5"/>
  <c r="O95" i="5"/>
  <c r="N95" i="5"/>
  <c r="M95" i="5"/>
  <c r="L95" i="5"/>
  <c r="K95" i="5"/>
  <c r="J95" i="5"/>
  <c r="I95" i="5"/>
  <c r="H95" i="5"/>
  <c r="G95" i="5"/>
  <c r="AH94" i="5"/>
  <c r="AG94" i="5"/>
  <c r="AF94" i="5"/>
  <c r="AE94" i="5"/>
  <c r="AD94" i="5"/>
  <c r="AC94" i="5"/>
  <c r="AB94" i="5"/>
  <c r="AA94" i="5"/>
  <c r="Z94" i="5"/>
  <c r="Y94" i="5"/>
  <c r="X94" i="5"/>
  <c r="W94" i="5"/>
  <c r="V94" i="5"/>
  <c r="U94" i="5"/>
  <c r="T94" i="5"/>
  <c r="S94" i="5"/>
  <c r="R94" i="5"/>
  <c r="Q94" i="5"/>
  <c r="P94" i="5"/>
  <c r="O94" i="5"/>
  <c r="N94" i="5"/>
  <c r="M94" i="5"/>
  <c r="L94" i="5"/>
  <c r="K94" i="5"/>
  <c r="J94" i="5"/>
  <c r="I94" i="5"/>
  <c r="H94" i="5"/>
  <c r="G94" i="5"/>
  <c r="AH93" i="5"/>
  <c r="AG93" i="5"/>
  <c r="AF93" i="5"/>
  <c r="AE93" i="5"/>
  <c r="AD93" i="5"/>
  <c r="AC93" i="5"/>
  <c r="AB93" i="5"/>
  <c r="AA93" i="5"/>
  <c r="Z93" i="5"/>
  <c r="Y93" i="5"/>
  <c r="X93" i="5"/>
  <c r="W93" i="5"/>
  <c r="V93" i="5"/>
  <c r="U93" i="5"/>
  <c r="T93" i="5"/>
  <c r="S93" i="5"/>
  <c r="R93" i="5"/>
  <c r="Q93" i="5"/>
  <c r="P93" i="5"/>
  <c r="O93" i="5"/>
  <c r="N93" i="5"/>
  <c r="M93" i="5"/>
  <c r="L93" i="5"/>
  <c r="K93" i="5"/>
  <c r="J93" i="5"/>
  <c r="I93" i="5"/>
  <c r="H93" i="5"/>
  <c r="G93" i="5"/>
  <c r="AH92" i="5"/>
  <c r="AG92" i="5"/>
  <c r="AF92" i="5"/>
  <c r="AE92" i="5"/>
  <c r="AD92" i="5"/>
  <c r="AC92" i="5"/>
  <c r="AB92" i="5"/>
  <c r="AA92" i="5"/>
  <c r="Z92" i="5"/>
  <c r="Y92" i="5"/>
  <c r="X92" i="5"/>
  <c r="W92" i="5"/>
  <c r="V92" i="5"/>
  <c r="U92" i="5"/>
  <c r="T92" i="5"/>
  <c r="S92" i="5"/>
  <c r="R92" i="5"/>
  <c r="Q92" i="5"/>
  <c r="P92" i="5"/>
  <c r="O92" i="5"/>
  <c r="N92" i="5"/>
  <c r="M92" i="5"/>
  <c r="L92" i="5"/>
  <c r="K92" i="5"/>
  <c r="J92" i="5"/>
  <c r="I92" i="5"/>
  <c r="H92" i="5"/>
  <c r="G92" i="5"/>
  <c r="AH91" i="5"/>
  <c r="AG91" i="5"/>
  <c r="AF91" i="5"/>
  <c r="AE91" i="5"/>
  <c r="AD91" i="5"/>
  <c r="AC91" i="5"/>
  <c r="AB91" i="5"/>
  <c r="AA91" i="5"/>
  <c r="Z91" i="5"/>
  <c r="Y91" i="5"/>
  <c r="X91" i="5"/>
  <c r="W91" i="5"/>
  <c r="V91" i="5"/>
  <c r="U91" i="5"/>
  <c r="T91" i="5"/>
  <c r="S91" i="5"/>
  <c r="R91" i="5"/>
  <c r="Q91" i="5"/>
  <c r="P91" i="5"/>
  <c r="O91" i="5"/>
  <c r="N91" i="5"/>
  <c r="M91" i="5"/>
  <c r="L91" i="5"/>
  <c r="K91" i="5"/>
  <c r="J91" i="5"/>
  <c r="I91" i="5"/>
  <c r="H91" i="5"/>
  <c r="G91" i="5"/>
  <c r="AH90" i="5"/>
  <c r="AG90" i="5"/>
  <c r="AF90" i="5"/>
  <c r="AE90" i="5"/>
  <c r="AD90" i="5"/>
  <c r="AC90" i="5"/>
  <c r="AB90" i="5"/>
  <c r="AA90" i="5"/>
  <c r="Z90" i="5"/>
  <c r="Y90" i="5"/>
  <c r="X90" i="5"/>
  <c r="W90" i="5"/>
  <c r="V90" i="5"/>
  <c r="U90" i="5"/>
  <c r="T90" i="5"/>
  <c r="S90" i="5"/>
  <c r="R90" i="5"/>
  <c r="Q90" i="5"/>
  <c r="P90" i="5"/>
  <c r="O90" i="5"/>
  <c r="N90" i="5"/>
  <c r="M90" i="5"/>
  <c r="L90" i="5"/>
  <c r="K90" i="5"/>
  <c r="J90" i="5"/>
  <c r="I90" i="5"/>
  <c r="H90" i="5"/>
  <c r="G90" i="5"/>
  <c r="AH89" i="5"/>
  <c r="AG89" i="5"/>
  <c r="AF89" i="5"/>
  <c r="AE89" i="5"/>
  <c r="AD89" i="5"/>
  <c r="AC89" i="5"/>
  <c r="AB89" i="5"/>
  <c r="AA89" i="5"/>
  <c r="Z89" i="5"/>
  <c r="Y89" i="5"/>
  <c r="X89" i="5"/>
  <c r="W89" i="5"/>
  <c r="V89" i="5"/>
  <c r="U89" i="5"/>
  <c r="T89" i="5"/>
  <c r="S89" i="5"/>
  <c r="R89" i="5"/>
  <c r="Q89" i="5"/>
  <c r="P89" i="5"/>
  <c r="O89" i="5"/>
  <c r="N89" i="5"/>
  <c r="M89" i="5"/>
  <c r="L89" i="5"/>
  <c r="K89" i="5"/>
  <c r="J89" i="5"/>
  <c r="I89" i="5"/>
  <c r="H89" i="5"/>
  <c r="G89" i="5"/>
  <c r="AH88" i="5"/>
  <c r="AG88" i="5"/>
  <c r="AF88" i="5"/>
  <c r="AE88" i="5"/>
  <c r="AD88" i="5"/>
  <c r="AC88" i="5"/>
  <c r="AB88" i="5"/>
  <c r="AA88" i="5"/>
  <c r="Z88" i="5"/>
  <c r="Y88" i="5"/>
  <c r="X88" i="5"/>
  <c r="W88" i="5"/>
  <c r="V88" i="5"/>
  <c r="U88" i="5"/>
  <c r="T88" i="5"/>
  <c r="S88" i="5"/>
  <c r="R88" i="5"/>
  <c r="Q88" i="5"/>
  <c r="P88" i="5"/>
  <c r="O88" i="5"/>
  <c r="N88" i="5"/>
  <c r="M88" i="5"/>
  <c r="L88" i="5"/>
  <c r="K88" i="5"/>
  <c r="J88" i="5"/>
  <c r="I88" i="5"/>
  <c r="H88" i="5"/>
  <c r="G88" i="5"/>
  <c r="AH87" i="5"/>
  <c r="AG87" i="5"/>
  <c r="AF87" i="5"/>
  <c r="AE87" i="5"/>
  <c r="AD87" i="5"/>
  <c r="AC87" i="5"/>
  <c r="AB87" i="5"/>
  <c r="AA87" i="5"/>
  <c r="Z87" i="5"/>
  <c r="Y87" i="5"/>
  <c r="X87" i="5"/>
  <c r="W87" i="5"/>
  <c r="V87" i="5"/>
  <c r="U87" i="5"/>
  <c r="T87" i="5"/>
  <c r="S87" i="5"/>
  <c r="R87" i="5"/>
  <c r="Q87" i="5"/>
  <c r="P87" i="5"/>
  <c r="O87" i="5"/>
  <c r="N87" i="5"/>
  <c r="M87" i="5"/>
  <c r="L87" i="5"/>
  <c r="K87" i="5"/>
  <c r="J87" i="5"/>
  <c r="I87" i="5"/>
  <c r="H87" i="5"/>
  <c r="G87" i="5"/>
  <c r="AH86" i="5"/>
  <c r="AG86" i="5"/>
  <c r="AF86" i="5"/>
  <c r="AE86" i="5"/>
  <c r="AD86" i="5"/>
  <c r="AC86" i="5"/>
  <c r="AB86" i="5"/>
  <c r="AA86" i="5"/>
  <c r="Z86" i="5"/>
  <c r="Y86" i="5"/>
  <c r="X86" i="5"/>
  <c r="W86" i="5"/>
  <c r="V86" i="5"/>
  <c r="U86" i="5"/>
  <c r="T86" i="5"/>
  <c r="S86" i="5"/>
  <c r="R86" i="5"/>
  <c r="Q86" i="5"/>
  <c r="P86" i="5"/>
  <c r="O86" i="5"/>
  <c r="N86" i="5"/>
  <c r="M86" i="5"/>
  <c r="L86" i="5"/>
  <c r="K86" i="5"/>
  <c r="J86" i="5"/>
  <c r="I86" i="5"/>
  <c r="H86" i="5"/>
  <c r="G86" i="5"/>
  <c r="AH85" i="5"/>
  <c r="AG85" i="5"/>
  <c r="AF85" i="5"/>
  <c r="AE85" i="5"/>
  <c r="AD85" i="5"/>
  <c r="AC85" i="5"/>
  <c r="AB85" i="5"/>
  <c r="AA85" i="5"/>
  <c r="Z85" i="5"/>
  <c r="Y85" i="5"/>
  <c r="X85" i="5"/>
  <c r="W85" i="5"/>
  <c r="V85" i="5"/>
  <c r="U85" i="5"/>
  <c r="T85" i="5"/>
  <c r="S85" i="5"/>
  <c r="R85" i="5"/>
  <c r="Q85" i="5"/>
  <c r="P85" i="5"/>
  <c r="O85" i="5"/>
  <c r="N85" i="5"/>
  <c r="M85" i="5"/>
  <c r="L85" i="5"/>
  <c r="K85" i="5"/>
  <c r="J85" i="5"/>
  <c r="I85" i="5"/>
  <c r="H85" i="5"/>
  <c r="G85" i="5"/>
  <c r="AH84" i="5"/>
  <c r="AG84" i="5"/>
  <c r="AF84" i="5"/>
  <c r="AE84" i="5"/>
  <c r="AD84" i="5"/>
  <c r="AC84" i="5"/>
  <c r="AB84" i="5"/>
  <c r="AA84" i="5"/>
  <c r="Z84" i="5"/>
  <c r="Y84" i="5"/>
  <c r="X84" i="5"/>
  <c r="W84" i="5"/>
  <c r="V84" i="5"/>
  <c r="U84" i="5"/>
  <c r="T84" i="5"/>
  <c r="S84" i="5"/>
  <c r="R84" i="5"/>
  <c r="Q84" i="5"/>
  <c r="P84" i="5"/>
  <c r="O84" i="5"/>
  <c r="N84" i="5"/>
  <c r="M84" i="5"/>
  <c r="L84" i="5"/>
  <c r="K84" i="5"/>
  <c r="J84" i="5"/>
  <c r="I84" i="5"/>
  <c r="H84" i="5"/>
  <c r="G84" i="5"/>
  <c r="AH83" i="5"/>
  <c r="AG83" i="5"/>
  <c r="AF83" i="5"/>
  <c r="AE83" i="5"/>
  <c r="AD83" i="5"/>
  <c r="AC83" i="5"/>
  <c r="AB83" i="5"/>
  <c r="AA83" i="5"/>
  <c r="Z83" i="5"/>
  <c r="Y83" i="5"/>
  <c r="X83" i="5"/>
  <c r="W83" i="5"/>
  <c r="V83" i="5"/>
  <c r="U83" i="5"/>
  <c r="T83" i="5"/>
  <c r="S83" i="5"/>
  <c r="R83" i="5"/>
  <c r="Q83" i="5"/>
  <c r="P83" i="5"/>
  <c r="O83" i="5"/>
  <c r="N83" i="5"/>
  <c r="M83" i="5"/>
  <c r="L83" i="5"/>
  <c r="K83" i="5"/>
  <c r="J83" i="5"/>
  <c r="I83" i="5"/>
  <c r="H83" i="5"/>
  <c r="G83" i="5"/>
  <c r="AH82" i="5"/>
  <c r="AG82" i="5"/>
  <c r="AF82" i="5"/>
  <c r="AE82" i="5"/>
  <c r="AD82" i="5"/>
  <c r="AC82" i="5"/>
  <c r="AB82" i="5"/>
  <c r="AA82" i="5"/>
  <c r="Z82" i="5"/>
  <c r="Y82" i="5"/>
  <c r="X82" i="5"/>
  <c r="W82" i="5"/>
  <c r="V82" i="5"/>
  <c r="U82" i="5"/>
  <c r="T82" i="5"/>
  <c r="S82" i="5"/>
  <c r="R82" i="5"/>
  <c r="Q82" i="5"/>
  <c r="P82" i="5"/>
  <c r="O82" i="5"/>
  <c r="N82" i="5"/>
  <c r="M82" i="5"/>
  <c r="L82" i="5"/>
  <c r="K82" i="5"/>
  <c r="J82" i="5"/>
  <c r="I82" i="5"/>
  <c r="H82" i="5"/>
  <c r="G82" i="5"/>
  <c r="AH81" i="5"/>
  <c r="AG81" i="5"/>
  <c r="AF81" i="5"/>
  <c r="AE81" i="5"/>
  <c r="AD81" i="5"/>
  <c r="AC81" i="5"/>
  <c r="AB81" i="5"/>
  <c r="AA81" i="5"/>
  <c r="Z81" i="5"/>
  <c r="Y81" i="5"/>
  <c r="X81" i="5"/>
  <c r="W81" i="5"/>
  <c r="V81" i="5"/>
  <c r="U81" i="5"/>
  <c r="T81" i="5"/>
  <c r="S81" i="5"/>
  <c r="R81" i="5"/>
  <c r="Q81" i="5"/>
  <c r="P81" i="5"/>
  <c r="O81" i="5"/>
  <c r="N81" i="5"/>
  <c r="M81" i="5"/>
  <c r="L81" i="5"/>
  <c r="K81" i="5"/>
  <c r="J81" i="5"/>
  <c r="I81" i="5"/>
  <c r="H81" i="5"/>
  <c r="G81" i="5"/>
  <c r="AH80" i="5"/>
  <c r="AG80" i="5"/>
  <c r="AF80" i="5"/>
  <c r="AE80" i="5"/>
  <c r="AD80" i="5"/>
  <c r="AC80" i="5"/>
  <c r="AB80" i="5"/>
  <c r="AA80" i="5"/>
  <c r="Z80" i="5"/>
  <c r="Y80" i="5"/>
  <c r="X80" i="5"/>
  <c r="W80" i="5"/>
  <c r="V80" i="5"/>
  <c r="U80" i="5"/>
  <c r="T80" i="5"/>
  <c r="S80" i="5"/>
  <c r="R80" i="5"/>
  <c r="Q80" i="5"/>
  <c r="P80" i="5"/>
  <c r="O80" i="5"/>
  <c r="N80" i="5"/>
  <c r="M80" i="5"/>
  <c r="L80" i="5"/>
  <c r="K80" i="5"/>
  <c r="J80" i="5"/>
  <c r="I80" i="5"/>
  <c r="H80" i="5"/>
  <c r="G80" i="5"/>
  <c r="AH79" i="5"/>
  <c r="AG79" i="5"/>
  <c r="AF79" i="5"/>
  <c r="AE79" i="5"/>
  <c r="AD79" i="5"/>
  <c r="AC79" i="5"/>
  <c r="AB79" i="5"/>
  <c r="AA79" i="5"/>
  <c r="Z79" i="5"/>
  <c r="Y79" i="5"/>
  <c r="X79" i="5"/>
  <c r="W79" i="5"/>
  <c r="V79" i="5"/>
  <c r="U79" i="5"/>
  <c r="T79" i="5"/>
  <c r="S79" i="5"/>
  <c r="R79" i="5"/>
  <c r="Q79" i="5"/>
  <c r="P79" i="5"/>
  <c r="O79" i="5"/>
  <c r="N79" i="5"/>
  <c r="M79" i="5"/>
  <c r="L79" i="5"/>
  <c r="K79" i="5"/>
  <c r="J79" i="5"/>
  <c r="I79" i="5"/>
  <c r="H79" i="5"/>
  <c r="G79" i="5"/>
  <c r="AH78" i="5"/>
  <c r="AG78" i="5"/>
  <c r="AF78" i="5"/>
  <c r="AE78" i="5"/>
  <c r="AD78" i="5"/>
  <c r="AC78" i="5"/>
  <c r="AB78" i="5"/>
  <c r="AA78" i="5"/>
  <c r="Z78" i="5"/>
  <c r="Y78" i="5"/>
  <c r="X78" i="5"/>
  <c r="W78" i="5"/>
  <c r="V78" i="5"/>
  <c r="U78" i="5"/>
  <c r="T78" i="5"/>
  <c r="S78" i="5"/>
  <c r="R78" i="5"/>
  <c r="Q78" i="5"/>
  <c r="P78" i="5"/>
  <c r="O78" i="5"/>
  <c r="N78" i="5"/>
  <c r="M78" i="5"/>
  <c r="L78" i="5"/>
  <c r="K78" i="5"/>
  <c r="J78" i="5"/>
  <c r="I78" i="5"/>
  <c r="H78" i="5"/>
  <c r="G78" i="5"/>
  <c r="AH77" i="5"/>
  <c r="AG77" i="5"/>
  <c r="AF77" i="5"/>
  <c r="AE77" i="5"/>
  <c r="AD77" i="5"/>
  <c r="AC77" i="5"/>
  <c r="AB77" i="5"/>
  <c r="AA77" i="5"/>
  <c r="Z77" i="5"/>
  <c r="Y77" i="5"/>
  <c r="X77" i="5"/>
  <c r="W77" i="5"/>
  <c r="V77" i="5"/>
  <c r="U77" i="5"/>
  <c r="T77" i="5"/>
  <c r="S77" i="5"/>
  <c r="R77" i="5"/>
  <c r="Q77" i="5"/>
  <c r="P77" i="5"/>
  <c r="O77" i="5"/>
  <c r="N77" i="5"/>
  <c r="M77" i="5"/>
  <c r="L77" i="5"/>
  <c r="K77" i="5"/>
  <c r="J77" i="5"/>
  <c r="I77" i="5"/>
  <c r="H77" i="5"/>
  <c r="G77" i="5"/>
  <c r="AH76" i="5"/>
  <c r="AG76" i="5"/>
  <c r="AF76" i="5"/>
  <c r="AE76" i="5"/>
  <c r="AD76" i="5"/>
  <c r="AC76" i="5"/>
  <c r="AB76" i="5"/>
  <c r="AA76" i="5"/>
  <c r="Z76" i="5"/>
  <c r="Y76" i="5"/>
  <c r="X76" i="5"/>
  <c r="W76" i="5"/>
  <c r="V76" i="5"/>
  <c r="U76" i="5"/>
  <c r="T76" i="5"/>
  <c r="S76" i="5"/>
  <c r="R76" i="5"/>
  <c r="Q76" i="5"/>
  <c r="P76" i="5"/>
  <c r="O76" i="5"/>
  <c r="N76" i="5"/>
  <c r="M76" i="5"/>
  <c r="L76" i="5"/>
  <c r="K76" i="5"/>
  <c r="J76" i="5"/>
  <c r="I76" i="5"/>
  <c r="H76" i="5"/>
  <c r="G76" i="5"/>
  <c r="AH75" i="5"/>
  <c r="AG75" i="5"/>
  <c r="AF75" i="5"/>
  <c r="AE75" i="5"/>
  <c r="AD75" i="5"/>
  <c r="AC75" i="5"/>
  <c r="AB75" i="5"/>
  <c r="AA75" i="5"/>
  <c r="Z75" i="5"/>
  <c r="Y75" i="5"/>
  <c r="X75" i="5"/>
  <c r="W75" i="5"/>
  <c r="V75" i="5"/>
  <c r="U75" i="5"/>
  <c r="T75" i="5"/>
  <c r="S75" i="5"/>
  <c r="R75" i="5"/>
  <c r="Q75" i="5"/>
  <c r="P75" i="5"/>
  <c r="O75" i="5"/>
  <c r="N75" i="5"/>
  <c r="M75" i="5"/>
  <c r="L75" i="5"/>
  <c r="K75" i="5"/>
  <c r="J75" i="5"/>
  <c r="I75" i="5"/>
  <c r="H75" i="5"/>
  <c r="G75" i="5"/>
  <c r="AH74" i="5"/>
  <c r="AG74" i="5"/>
  <c r="AF74" i="5"/>
  <c r="AE74" i="5"/>
  <c r="AD74" i="5"/>
  <c r="AC74" i="5"/>
  <c r="AB74" i="5"/>
  <c r="AA74" i="5"/>
  <c r="Z74" i="5"/>
  <c r="Y74" i="5"/>
  <c r="X74" i="5"/>
  <c r="W74" i="5"/>
  <c r="V74" i="5"/>
  <c r="U74" i="5"/>
  <c r="T74" i="5"/>
  <c r="S74" i="5"/>
  <c r="R74" i="5"/>
  <c r="Q74" i="5"/>
  <c r="P74" i="5"/>
  <c r="O74" i="5"/>
  <c r="N74" i="5"/>
  <c r="M74" i="5"/>
  <c r="L74" i="5"/>
  <c r="K74" i="5"/>
  <c r="J74" i="5"/>
  <c r="I74" i="5"/>
  <c r="H74" i="5"/>
  <c r="G74" i="5"/>
  <c r="AH73" i="5"/>
  <c r="AG73" i="5"/>
  <c r="AF73" i="5"/>
  <c r="AE73" i="5"/>
  <c r="AD73" i="5"/>
  <c r="AC73" i="5"/>
  <c r="AB73" i="5"/>
  <c r="AA73" i="5"/>
  <c r="Z73" i="5"/>
  <c r="Y73" i="5"/>
  <c r="X73" i="5"/>
  <c r="W73" i="5"/>
  <c r="V73" i="5"/>
  <c r="U73" i="5"/>
  <c r="T73" i="5"/>
  <c r="S73" i="5"/>
  <c r="R73" i="5"/>
  <c r="Q73" i="5"/>
  <c r="P73" i="5"/>
  <c r="O73" i="5"/>
  <c r="N73" i="5"/>
  <c r="M73" i="5"/>
  <c r="L73" i="5"/>
  <c r="K73" i="5"/>
  <c r="J73" i="5"/>
  <c r="I73" i="5"/>
  <c r="H73" i="5"/>
  <c r="G73" i="5"/>
  <c r="AH72" i="5"/>
  <c r="AG72" i="5"/>
  <c r="AF72" i="5"/>
  <c r="AE72" i="5"/>
  <c r="AD72" i="5"/>
  <c r="AC72" i="5"/>
  <c r="AB72" i="5"/>
  <c r="AA72" i="5"/>
  <c r="Z72" i="5"/>
  <c r="Y72" i="5"/>
  <c r="X72" i="5"/>
  <c r="W72" i="5"/>
  <c r="V72" i="5"/>
  <c r="U72" i="5"/>
  <c r="T72" i="5"/>
  <c r="S72" i="5"/>
  <c r="R72" i="5"/>
  <c r="Q72" i="5"/>
  <c r="P72" i="5"/>
  <c r="O72" i="5"/>
  <c r="N72" i="5"/>
  <c r="M72" i="5"/>
  <c r="L72" i="5"/>
  <c r="K72" i="5"/>
  <c r="J72" i="5"/>
  <c r="I72" i="5"/>
  <c r="H72" i="5"/>
  <c r="G72" i="5"/>
  <c r="AH71" i="5"/>
  <c r="AG71" i="5"/>
  <c r="AF71" i="5"/>
  <c r="AE71" i="5"/>
  <c r="AD71" i="5"/>
  <c r="AC71" i="5"/>
  <c r="AB71" i="5"/>
  <c r="AA71" i="5"/>
  <c r="Z71" i="5"/>
  <c r="Y71" i="5"/>
  <c r="X71" i="5"/>
  <c r="W71" i="5"/>
  <c r="V71" i="5"/>
  <c r="U71" i="5"/>
  <c r="T71" i="5"/>
  <c r="S71" i="5"/>
  <c r="R71" i="5"/>
  <c r="Q71" i="5"/>
  <c r="P71" i="5"/>
  <c r="O71" i="5"/>
  <c r="N71" i="5"/>
  <c r="M71" i="5"/>
  <c r="L71" i="5"/>
  <c r="K71" i="5"/>
  <c r="J71" i="5"/>
  <c r="I71" i="5"/>
  <c r="H71" i="5"/>
  <c r="G71" i="5"/>
  <c r="AH70" i="5"/>
  <c r="AG70" i="5"/>
  <c r="AF70" i="5"/>
  <c r="AE70" i="5"/>
  <c r="AD70" i="5"/>
  <c r="AC70" i="5"/>
  <c r="AB70" i="5"/>
  <c r="AA70" i="5"/>
  <c r="Z70" i="5"/>
  <c r="Y70" i="5"/>
  <c r="X70" i="5"/>
  <c r="W70" i="5"/>
  <c r="V70" i="5"/>
  <c r="U70" i="5"/>
  <c r="T70" i="5"/>
  <c r="S70" i="5"/>
  <c r="R70" i="5"/>
  <c r="Q70" i="5"/>
  <c r="P70" i="5"/>
  <c r="O70" i="5"/>
  <c r="N70" i="5"/>
  <c r="M70" i="5"/>
  <c r="L70" i="5"/>
  <c r="K70" i="5"/>
  <c r="J70" i="5"/>
  <c r="I70" i="5"/>
  <c r="H70" i="5"/>
  <c r="G70" i="5"/>
  <c r="AH69" i="5"/>
  <c r="AG69" i="5"/>
  <c r="AF69" i="5"/>
  <c r="AE69" i="5"/>
  <c r="AD69" i="5"/>
  <c r="AC69" i="5"/>
  <c r="AB69" i="5"/>
  <c r="AA69" i="5"/>
  <c r="Z69" i="5"/>
  <c r="Y69" i="5"/>
  <c r="X69" i="5"/>
  <c r="W69" i="5"/>
  <c r="V69" i="5"/>
  <c r="U69" i="5"/>
  <c r="T69" i="5"/>
  <c r="S69" i="5"/>
  <c r="R69" i="5"/>
  <c r="Q69" i="5"/>
  <c r="P69" i="5"/>
  <c r="O69" i="5"/>
  <c r="N69" i="5"/>
  <c r="M69" i="5"/>
  <c r="L69" i="5"/>
  <c r="K69" i="5"/>
  <c r="J69" i="5"/>
  <c r="I69" i="5"/>
  <c r="H69" i="5"/>
  <c r="G69" i="5"/>
  <c r="AH68" i="5"/>
  <c r="AG68" i="5"/>
  <c r="AF68" i="5"/>
  <c r="AE68" i="5"/>
  <c r="AD68" i="5"/>
  <c r="AC68" i="5"/>
  <c r="AB68" i="5"/>
  <c r="AA68" i="5"/>
  <c r="Z68" i="5"/>
  <c r="Y68" i="5"/>
  <c r="X68" i="5"/>
  <c r="W68" i="5"/>
  <c r="V68" i="5"/>
  <c r="U68" i="5"/>
  <c r="T68" i="5"/>
  <c r="S68" i="5"/>
  <c r="R68" i="5"/>
  <c r="Q68" i="5"/>
  <c r="P68" i="5"/>
  <c r="O68" i="5"/>
  <c r="N68" i="5"/>
  <c r="M68" i="5"/>
  <c r="L68" i="5"/>
  <c r="K68" i="5"/>
  <c r="J68" i="5"/>
  <c r="I68" i="5"/>
  <c r="H68" i="5"/>
  <c r="G68" i="5"/>
  <c r="AH67" i="5"/>
  <c r="AG67" i="5"/>
  <c r="AF67" i="5"/>
  <c r="AE67" i="5"/>
  <c r="AD67" i="5"/>
  <c r="AC67" i="5"/>
  <c r="AB67" i="5"/>
  <c r="AA67" i="5"/>
  <c r="Z67" i="5"/>
  <c r="Y67" i="5"/>
  <c r="X67" i="5"/>
  <c r="W67" i="5"/>
  <c r="V67" i="5"/>
  <c r="U67" i="5"/>
  <c r="T67" i="5"/>
  <c r="S67" i="5"/>
  <c r="R67" i="5"/>
  <c r="Q67" i="5"/>
  <c r="P67" i="5"/>
  <c r="O67" i="5"/>
  <c r="N67" i="5"/>
  <c r="M67" i="5"/>
  <c r="L67" i="5"/>
  <c r="K67" i="5"/>
  <c r="J67" i="5"/>
  <c r="I67" i="5"/>
  <c r="H67" i="5"/>
  <c r="G67" i="5"/>
  <c r="AH66" i="5"/>
  <c r="AG66" i="5"/>
  <c r="AF66" i="5"/>
  <c r="AE66" i="5"/>
  <c r="AD66" i="5"/>
  <c r="AC66" i="5"/>
  <c r="AB66" i="5"/>
  <c r="AA66" i="5"/>
  <c r="Z66" i="5"/>
  <c r="Y66" i="5"/>
  <c r="X66" i="5"/>
  <c r="W66" i="5"/>
  <c r="V66" i="5"/>
  <c r="U66" i="5"/>
  <c r="T66" i="5"/>
  <c r="S66" i="5"/>
  <c r="R66" i="5"/>
  <c r="Q66" i="5"/>
  <c r="P66" i="5"/>
  <c r="O66" i="5"/>
  <c r="N66" i="5"/>
  <c r="M66" i="5"/>
  <c r="L66" i="5"/>
  <c r="K66" i="5"/>
  <c r="J66" i="5"/>
  <c r="I66" i="5"/>
  <c r="H66" i="5"/>
  <c r="G66" i="5"/>
  <c r="AH65" i="5"/>
  <c r="AG65" i="5"/>
  <c r="AF65" i="5"/>
  <c r="AE65" i="5"/>
  <c r="AD65" i="5"/>
  <c r="AC65" i="5"/>
  <c r="AB65" i="5"/>
  <c r="AA65" i="5"/>
  <c r="Z65" i="5"/>
  <c r="Y65" i="5"/>
  <c r="X65" i="5"/>
  <c r="W65" i="5"/>
  <c r="V65" i="5"/>
  <c r="U65" i="5"/>
  <c r="T65" i="5"/>
  <c r="S65" i="5"/>
  <c r="R65" i="5"/>
  <c r="Q65" i="5"/>
  <c r="P65" i="5"/>
  <c r="O65" i="5"/>
  <c r="N65" i="5"/>
  <c r="M65" i="5"/>
  <c r="L65" i="5"/>
  <c r="K65" i="5"/>
  <c r="J65" i="5"/>
  <c r="I65" i="5"/>
  <c r="H65" i="5"/>
  <c r="G65" i="5"/>
  <c r="AH64" i="5"/>
  <c r="AG64" i="5"/>
  <c r="AF64" i="5"/>
  <c r="AE64" i="5"/>
  <c r="AD64" i="5"/>
  <c r="AC64" i="5"/>
  <c r="AB64" i="5"/>
  <c r="AA64" i="5"/>
  <c r="Z64" i="5"/>
  <c r="Y64" i="5"/>
  <c r="X64" i="5"/>
  <c r="W64" i="5"/>
  <c r="V64" i="5"/>
  <c r="U64" i="5"/>
  <c r="T64" i="5"/>
  <c r="S64" i="5"/>
  <c r="R64" i="5"/>
  <c r="Q64" i="5"/>
  <c r="P64" i="5"/>
  <c r="O64" i="5"/>
  <c r="N64" i="5"/>
  <c r="M64" i="5"/>
  <c r="L64" i="5"/>
  <c r="K64" i="5"/>
  <c r="J64" i="5"/>
  <c r="I64" i="5"/>
  <c r="H64" i="5"/>
  <c r="G64" i="5"/>
  <c r="AH63" i="5"/>
  <c r="AG63" i="5"/>
  <c r="AF63" i="5"/>
  <c r="AE63" i="5"/>
  <c r="AD63" i="5"/>
  <c r="AC63" i="5"/>
  <c r="AB63" i="5"/>
  <c r="AA63" i="5"/>
  <c r="Z63" i="5"/>
  <c r="Y63" i="5"/>
  <c r="X63" i="5"/>
  <c r="W63" i="5"/>
  <c r="V63" i="5"/>
  <c r="U63" i="5"/>
  <c r="T63" i="5"/>
  <c r="S63" i="5"/>
  <c r="R63" i="5"/>
  <c r="Q63" i="5"/>
  <c r="P63" i="5"/>
  <c r="O63" i="5"/>
  <c r="N63" i="5"/>
  <c r="M63" i="5"/>
  <c r="L63" i="5"/>
  <c r="K63" i="5"/>
  <c r="J63" i="5"/>
  <c r="I63" i="5"/>
  <c r="H63" i="5"/>
  <c r="G63" i="5"/>
  <c r="AH62" i="5"/>
  <c r="AG62" i="5"/>
  <c r="AF62" i="5"/>
  <c r="AE62" i="5"/>
  <c r="AD62" i="5"/>
  <c r="AC62" i="5"/>
  <c r="AB62" i="5"/>
  <c r="AA62" i="5"/>
  <c r="Z62" i="5"/>
  <c r="Y62" i="5"/>
  <c r="X62" i="5"/>
  <c r="W62" i="5"/>
  <c r="V62" i="5"/>
  <c r="U62" i="5"/>
  <c r="T62" i="5"/>
  <c r="S62" i="5"/>
  <c r="R62" i="5"/>
  <c r="Q62" i="5"/>
  <c r="P62" i="5"/>
  <c r="O62" i="5"/>
  <c r="N62" i="5"/>
  <c r="M62" i="5"/>
  <c r="L62" i="5"/>
  <c r="K62" i="5"/>
  <c r="J62" i="5"/>
  <c r="I62" i="5"/>
  <c r="H62" i="5"/>
  <c r="G62" i="5"/>
  <c r="AH61" i="5"/>
  <c r="AG61" i="5"/>
  <c r="AF61" i="5"/>
  <c r="AE61" i="5"/>
  <c r="AD61" i="5"/>
  <c r="AC61" i="5"/>
  <c r="AB61" i="5"/>
  <c r="AA61" i="5"/>
  <c r="Z61" i="5"/>
  <c r="Y61" i="5"/>
  <c r="X61" i="5"/>
  <c r="W61" i="5"/>
  <c r="V61" i="5"/>
  <c r="U61" i="5"/>
  <c r="T61" i="5"/>
  <c r="S61" i="5"/>
  <c r="R61" i="5"/>
  <c r="Q61" i="5"/>
  <c r="P61" i="5"/>
  <c r="O61" i="5"/>
  <c r="N61" i="5"/>
  <c r="M61" i="5"/>
  <c r="L61" i="5"/>
  <c r="K61" i="5"/>
  <c r="J61" i="5"/>
  <c r="I61" i="5"/>
  <c r="H61" i="5"/>
  <c r="G61" i="5"/>
  <c r="AH60" i="5"/>
  <c r="AG60" i="5"/>
  <c r="AF60" i="5"/>
  <c r="AE60" i="5"/>
  <c r="AD60" i="5"/>
  <c r="AC60" i="5"/>
  <c r="AB60" i="5"/>
  <c r="AA60" i="5"/>
  <c r="Z60" i="5"/>
  <c r="Y60" i="5"/>
  <c r="X60" i="5"/>
  <c r="W60" i="5"/>
  <c r="V60" i="5"/>
  <c r="U60" i="5"/>
  <c r="T60" i="5"/>
  <c r="S60" i="5"/>
  <c r="R60" i="5"/>
  <c r="Q60" i="5"/>
  <c r="P60" i="5"/>
  <c r="O60" i="5"/>
  <c r="N60" i="5"/>
  <c r="M60" i="5"/>
  <c r="L60" i="5"/>
  <c r="K60" i="5"/>
  <c r="J60" i="5"/>
  <c r="I60" i="5"/>
  <c r="H60" i="5"/>
  <c r="G60" i="5"/>
  <c r="AH59" i="5"/>
  <c r="AG59" i="5"/>
  <c r="AF59" i="5"/>
  <c r="AE59" i="5"/>
  <c r="AD59" i="5"/>
  <c r="AC59" i="5"/>
  <c r="AB59" i="5"/>
  <c r="AA59" i="5"/>
  <c r="Z59" i="5"/>
  <c r="Y59" i="5"/>
  <c r="X59" i="5"/>
  <c r="W59" i="5"/>
  <c r="V59" i="5"/>
  <c r="U59" i="5"/>
  <c r="T59" i="5"/>
  <c r="S59" i="5"/>
  <c r="R59" i="5"/>
  <c r="Q59" i="5"/>
  <c r="P59" i="5"/>
  <c r="O59" i="5"/>
  <c r="N59" i="5"/>
  <c r="M59" i="5"/>
  <c r="L59" i="5"/>
  <c r="K59" i="5"/>
  <c r="J59" i="5"/>
  <c r="I59" i="5"/>
  <c r="H59" i="5"/>
  <c r="G59" i="5"/>
  <c r="AH58" i="5"/>
  <c r="AG58" i="5"/>
  <c r="AF58" i="5"/>
  <c r="AE58" i="5"/>
  <c r="AD58" i="5"/>
  <c r="AC58" i="5"/>
  <c r="AB58" i="5"/>
  <c r="AA58" i="5"/>
  <c r="Z58" i="5"/>
  <c r="Y58" i="5"/>
  <c r="X58" i="5"/>
  <c r="W58" i="5"/>
  <c r="V58" i="5"/>
  <c r="U58" i="5"/>
  <c r="T58" i="5"/>
  <c r="S58" i="5"/>
  <c r="R58" i="5"/>
  <c r="Q58" i="5"/>
  <c r="P58" i="5"/>
  <c r="O58" i="5"/>
  <c r="N58" i="5"/>
  <c r="M58" i="5"/>
  <c r="L58" i="5"/>
  <c r="K58" i="5"/>
  <c r="J58" i="5"/>
  <c r="I58" i="5"/>
  <c r="H58" i="5"/>
  <c r="G58" i="5"/>
  <c r="AH57" i="5"/>
  <c r="AG57" i="5"/>
  <c r="AF57" i="5"/>
  <c r="AE57" i="5"/>
  <c r="AD57" i="5"/>
  <c r="AC57" i="5"/>
  <c r="AB57" i="5"/>
  <c r="AA57" i="5"/>
  <c r="Z57" i="5"/>
  <c r="Y57" i="5"/>
  <c r="X57" i="5"/>
  <c r="W57" i="5"/>
  <c r="V57" i="5"/>
  <c r="U57" i="5"/>
  <c r="T57" i="5"/>
  <c r="S57" i="5"/>
  <c r="R57" i="5"/>
  <c r="Q57" i="5"/>
  <c r="P57" i="5"/>
  <c r="O57" i="5"/>
  <c r="N57" i="5"/>
  <c r="M57" i="5"/>
  <c r="L57" i="5"/>
  <c r="K57" i="5"/>
  <c r="J57" i="5"/>
  <c r="I57" i="5"/>
  <c r="H57" i="5"/>
  <c r="G57"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AH55" i="5"/>
  <c r="AG55" i="5"/>
  <c r="AF55" i="5"/>
  <c r="AE55" i="5"/>
  <c r="AD55" i="5"/>
  <c r="AC55" i="5"/>
  <c r="AB55" i="5"/>
  <c r="AA55" i="5"/>
  <c r="Z55" i="5"/>
  <c r="Y55" i="5"/>
  <c r="X55" i="5"/>
  <c r="W55" i="5"/>
  <c r="V55" i="5"/>
  <c r="U55" i="5"/>
  <c r="T55" i="5"/>
  <c r="S55" i="5"/>
  <c r="R55" i="5"/>
  <c r="Q55" i="5"/>
  <c r="P55" i="5"/>
  <c r="O55" i="5"/>
  <c r="N55" i="5"/>
  <c r="M55" i="5"/>
  <c r="L55" i="5"/>
  <c r="K55" i="5"/>
  <c r="J55" i="5"/>
  <c r="I55" i="5"/>
  <c r="H55" i="5"/>
  <c r="G55" i="5"/>
  <c r="AH54" i="5"/>
  <c r="AG54" i="5"/>
  <c r="AF54" i="5"/>
  <c r="AE54" i="5"/>
  <c r="AD54" i="5"/>
  <c r="AC54" i="5"/>
  <c r="AB54" i="5"/>
  <c r="AA54" i="5"/>
  <c r="Z54" i="5"/>
  <c r="Y54" i="5"/>
  <c r="X54" i="5"/>
  <c r="W54" i="5"/>
  <c r="V54" i="5"/>
  <c r="U54" i="5"/>
  <c r="T54" i="5"/>
  <c r="S54" i="5"/>
  <c r="R54" i="5"/>
  <c r="Q54" i="5"/>
  <c r="P54" i="5"/>
  <c r="O54" i="5"/>
  <c r="N54" i="5"/>
  <c r="M54" i="5"/>
  <c r="L54" i="5"/>
  <c r="K54" i="5"/>
  <c r="J54" i="5"/>
  <c r="I54" i="5"/>
  <c r="H54" i="5"/>
  <c r="G54" i="5"/>
  <c r="AH53" i="5"/>
  <c r="AG53" i="5"/>
  <c r="AF53" i="5"/>
  <c r="AE53" i="5"/>
  <c r="AD53" i="5"/>
  <c r="AC53" i="5"/>
  <c r="AB53" i="5"/>
  <c r="AA53" i="5"/>
  <c r="Z53" i="5"/>
  <c r="Y53" i="5"/>
  <c r="X53" i="5"/>
  <c r="W53" i="5"/>
  <c r="V53" i="5"/>
  <c r="U53" i="5"/>
  <c r="T53" i="5"/>
  <c r="S53" i="5"/>
  <c r="R53" i="5"/>
  <c r="Q53" i="5"/>
  <c r="P53" i="5"/>
  <c r="O53" i="5"/>
  <c r="N53" i="5"/>
  <c r="M53" i="5"/>
  <c r="L53" i="5"/>
  <c r="K53" i="5"/>
  <c r="J53" i="5"/>
  <c r="I53" i="5"/>
  <c r="H53" i="5"/>
  <c r="G53" i="5"/>
  <c r="AH52" i="5"/>
  <c r="AG52" i="5"/>
  <c r="AF52" i="5"/>
  <c r="AE52" i="5"/>
  <c r="AD52" i="5"/>
  <c r="AC52" i="5"/>
  <c r="AB52" i="5"/>
  <c r="AA52" i="5"/>
  <c r="Z52" i="5"/>
  <c r="Y52" i="5"/>
  <c r="X52" i="5"/>
  <c r="W52" i="5"/>
  <c r="V52" i="5"/>
  <c r="U52" i="5"/>
  <c r="T52" i="5"/>
  <c r="S52" i="5"/>
  <c r="R52" i="5"/>
  <c r="Q52" i="5"/>
  <c r="P52" i="5"/>
  <c r="O52" i="5"/>
  <c r="N52" i="5"/>
  <c r="M52" i="5"/>
  <c r="L52" i="5"/>
  <c r="K52" i="5"/>
  <c r="J52" i="5"/>
  <c r="I52" i="5"/>
  <c r="H52" i="5"/>
  <c r="G52" i="5"/>
  <c r="AH51" i="5"/>
  <c r="AG51" i="5"/>
  <c r="AF51" i="5"/>
  <c r="AE51" i="5"/>
  <c r="AD51" i="5"/>
  <c r="AC51" i="5"/>
  <c r="AB51" i="5"/>
  <c r="AA51" i="5"/>
  <c r="Z51" i="5"/>
  <c r="Y51" i="5"/>
  <c r="X51" i="5"/>
  <c r="W51" i="5"/>
  <c r="V51" i="5"/>
  <c r="U51" i="5"/>
  <c r="T51" i="5"/>
  <c r="S51" i="5"/>
  <c r="R51" i="5"/>
  <c r="Q51" i="5"/>
  <c r="P51" i="5"/>
  <c r="O51" i="5"/>
  <c r="N51" i="5"/>
  <c r="M51" i="5"/>
  <c r="L51" i="5"/>
  <c r="K51" i="5"/>
  <c r="J51" i="5"/>
  <c r="I51" i="5"/>
  <c r="H51" i="5"/>
  <c r="G51" i="5"/>
  <c r="AH50" i="5"/>
  <c r="AG50" i="5"/>
  <c r="AF50" i="5"/>
  <c r="AE50" i="5"/>
  <c r="AD50" i="5"/>
  <c r="AC50" i="5"/>
  <c r="AB50" i="5"/>
  <c r="AA50" i="5"/>
  <c r="Z50" i="5"/>
  <c r="Y50" i="5"/>
  <c r="X50" i="5"/>
  <c r="W50" i="5"/>
  <c r="V50" i="5"/>
  <c r="U50" i="5"/>
  <c r="T50" i="5"/>
  <c r="S50" i="5"/>
  <c r="R50" i="5"/>
  <c r="Q50" i="5"/>
  <c r="P50" i="5"/>
  <c r="O50" i="5"/>
  <c r="N50" i="5"/>
  <c r="M50" i="5"/>
  <c r="L50" i="5"/>
  <c r="K50" i="5"/>
  <c r="J50" i="5"/>
  <c r="I50" i="5"/>
  <c r="H50" i="5"/>
  <c r="G50" i="5"/>
  <c r="AH49" i="5"/>
  <c r="AG49" i="5"/>
  <c r="AF49" i="5"/>
  <c r="AE49" i="5"/>
  <c r="AD49" i="5"/>
  <c r="AC49" i="5"/>
  <c r="AB49" i="5"/>
  <c r="AA49" i="5"/>
  <c r="Z49" i="5"/>
  <c r="Y49" i="5"/>
  <c r="X49" i="5"/>
  <c r="W49" i="5"/>
  <c r="V49" i="5"/>
  <c r="U49" i="5"/>
  <c r="T49" i="5"/>
  <c r="S49" i="5"/>
  <c r="R49" i="5"/>
  <c r="Q49" i="5"/>
  <c r="P49" i="5"/>
  <c r="O49" i="5"/>
  <c r="N49" i="5"/>
  <c r="M49" i="5"/>
  <c r="L49" i="5"/>
  <c r="K49" i="5"/>
  <c r="J49" i="5"/>
  <c r="I49" i="5"/>
  <c r="H49" i="5"/>
  <c r="G49" i="5"/>
  <c r="AH48" i="5"/>
  <c r="AG48" i="5"/>
  <c r="AF48" i="5"/>
  <c r="AE48" i="5"/>
  <c r="AD48" i="5"/>
  <c r="AC48" i="5"/>
  <c r="AB48" i="5"/>
  <c r="AA48" i="5"/>
  <c r="Z48" i="5"/>
  <c r="Y48" i="5"/>
  <c r="X48" i="5"/>
  <c r="W48" i="5"/>
  <c r="V48" i="5"/>
  <c r="U48" i="5"/>
  <c r="T48" i="5"/>
  <c r="S48" i="5"/>
  <c r="R48" i="5"/>
  <c r="Q48" i="5"/>
  <c r="P48" i="5"/>
  <c r="O48" i="5"/>
  <c r="N48" i="5"/>
  <c r="M48" i="5"/>
  <c r="L48" i="5"/>
  <c r="K48" i="5"/>
  <c r="J48" i="5"/>
  <c r="I48" i="5"/>
  <c r="H48" i="5"/>
  <c r="G48" i="5"/>
  <c r="AH47" i="5"/>
  <c r="AG47" i="5"/>
  <c r="AF47" i="5"/>
  <c r="AE47" i="5"/>
  <c r="AD47" i="5"/>
  <c r="AC47" i="5"/>
  <c r="AB47" i="5"/>
  <c r="AA47" i="5"/>
  <c r="Z47" i="5"/>
  <c r="Y47" i="5"/>
  <c r="X47" i="5"/>
  <c r="W47" i="5"/>
  <c r="V47" i="5"/>
  <c r="U47" i="5"/>
  <c r="T47" i="5"/>
  <c r="S47" i="5"/>
  <c r="R47" i="5"/>
  <c r="Q47" i="5"/>
  <c r="P47" i="5"/>
  <c r="O47" i="5"/>
  <c r="N47" i="5"/>
  <c r="M47" i="5"/>
  <c r="L47" i="5"/>
  <c r="K47" i="5"/>
  <c r="J47" i="5"/>
  <c r="I47" i="5"/>
  <c r="H47" i="5"/>
  <c r="G47" i="5"/>
  <c r="AH46" i="5"/>
  <c r="AG46" i="5"/>
  <c r="AF46" i="5"/>
  <c r="AE46" i="5"/>
  <c r="AD46" i="5"/>
  <c r="AC46" i="5"/>
  <c r="AB46" i="5"/>
  <c r="AA46" i="5"/>
  <c r="Z46" i="5"/>
  <c r="Y46" i="5"/>
  <c r="X46" i="5"/>
  <c r="W46" i="5"/>
  <c r="V46" i="5"/>
  <c r="U46" i="5"/>
  <c r="T46" i="5"/>
  <c r="S46" i="5"/>
  <c r="R46" i="5"/>
  <c r="Q46" i="5"/>
  <c r="P46" i="5"/>
  <c r="O46" i="5"/>
  <c r="N46" i="5"/>
  <c r="M46" i="5"/>
  <c r="L46" i="5"/>
  <c r="K46" i="5"/>
  <c r="J46" i="5"/>
  <c r="I46" i="5"/>
  <c r="H46" i="5"/>
  <c r="G46" i="5"/>
  <c r="AH45" i="5"/>
  <c r="AG45" i="5"/>
  <c r="AF45" i="5"/>
  <c r="AE45" i="5"/>
  <c r="AD45" i="5"/>
  <c r="AC45" i="5"/>
  <c r="AB45" i="5"/>
  <c r="AA45" i="5"/>
  <c r="Z45" i="5"/>
  <c r="Y45" i="5"/>
  <c r="X45" i="5"/>
  <c r="W45" i="5"/>
  <c r="V45" i="5"/>
  <c r="U45" i="5"/>
  <c r="T45" i="5"/>
  <c r="S45" i="5"/>
  <c r="R45" i="5"/>
  <c r="Q45" i="5"/>
  <c r="P45" i="5"/>
  <c r="O45" i="5"/>
  <c r="N45" i="5"/>
  <c r="M45" i="5"/>
  <c r="L45" i="5"/>
  <c r="K45" i="5"/>
  <c r="J45" i="5"/>
  <c r="I45" i="5"/>
  <c r="H45" i="5"/>
  <c r="G45" i="5"/>
  <c r="AH44" i="5"/>
  <c r="AG44" i="5"/>
  <c r="AF44" i="5"/>
  <c r="AE44" i="5"/>
  <c r="AD44" i="5"/>
  <c r="AC44" i="5"/>
  <c r="AB44" i="5"/>
  <c r="AA44" i="5"/>
  <c r="Z44" i="5"/>
  <c r="Y44" i="5"/>
  <c r="X44" i="5"/>
  <c r="W44" i="5"/>
  <c r="V44" i="5"/>
  <c r="U44" i="5"/>
  <c r="T44" i="5"/>
  <c r="S44" i="5"/>
  <c r="R44" i="5"/>
  <c r="Q44" i="5"/>
  <c r="P44" i="5"/>
  <c r="O44" i="5"/>
  <c r="N44" i="5"/>
  <c r="M44" i="5"/>
  <c r="L44" i="5"/>
  <c r="K44" i="5"/>
  <c r="J44" i="5"/>
  <c r="I44" i="5"/>
  <c r="H44" i="5"/>
  <c r="G44" i="5"/>
  <c r="AH43" i="5"/>
  <c r="AG43" i="5"/>
  <c r="AF43" i="5"/>
  <c r="AE43" i="5"/>
  <c r="AD43" i="5"/>
  <c r="AC43" i="5"/>
  <c r="AB43" i="5"/>
  <c r="AA43" i="5"/>
  <c r="Z43" i="5"/>
  <c r="Y43" i="5"/>
  <c r="X43" i="5"/>
  <c r="W43" i="5"/>
  <c r="V43" i="5"/>
  <c r="U43" i="5"/>
  <c r="T43" i="5"/>
  <c r="S43" i="5"/>
  <c r="R43" i="5"/>
  <c r="Q43" i="5"/>
  <c r="P43" i="5"/>
  <c r="O43" i="5"/>
  <c r="N43" i="5"/>
  <c r="M43" i="5"/>
  <c r="L43" i="5"/>
  <c r="K43" i="5"/>
  <c r="J43" i="5"/>
  <c r="I43" i="5"/>
  <c r="H43" i="5"/>
  <c r="G43" i="5"/>
  <c r="AH42" i="5"/>
  <c r="AG42" i="5"/>
  <c r="AF42" i="5"/>
  <c r="AE42" i="5"/>
  <c r="AD42" i="5"/>
  <c r="AC42" i="5"/>
  <c r="AB42" i="5"/>
  <c r="AA42" i="5"/>
  <c r="Z42" i="5"/>
  <c r="Y42" i="5"/>
  <c r="X42" i="5"/>
  <c r="W42" i="5"/>
  <c r="V42" i="5"/>
  <c r="U42" i="5"/>
  <c r="T42" i="5"/>
  <c r="S42" i="5"/>
  <c r="R42" i="5"/>
  <c r="Q42" i="5"/>
  <c r="P42" i="5"/>
  <c r="O42" i="5"/>
  <c r="N42" i="5"/>
  <c r="M42" i="5"/>
  <c r="L42" i="5"/>
  <c r="K42" i="5"/>
  <c r="J42" i="5"/>
  <c r="I42" i="5"/>
  <c r="H42" i="5"/>
  <c r="G42" i="5"/>
  <c r="AH41" i="5"/>
  <c r="AG41" i="5"/>
  <c r="AF41" i="5"/>
  <c r="AE41" i="5"/>
  <c r="AD41" i="5"/>
  <c r="AC41" i="5"/>
  <c r="AB41" i="5"/>
  <c r="AA41" i="5"/>
  <c r="Z41" i="5"/>
  <c r="Y41" i="5"/>
  <c r="X41" i="5"/>
  <c r="W41" i="5"/>
  <c r="V41" i="5"/>
  <c r="U41" i="5"/>
  <c r="T41" i="5"/>
  <c r="S41" i="5"/>
  <c r="R41" i="5"/>
  <c r="Q41" i="5"/>
  <c r="P41" i="5"/>
  <c r="O41" i="5"/>
  <c r="N41" i="5"/>
  <c r="M41" i="5"/>
  <c r="L41" i="5"/>
  <c r="K41" i="5"/>
  <c r="J41" i="5"/>
  <c r="I41" i="5"/>
  <c r="H41" i="5"/>
  <c r="G41" i="5"/>
  <c r="AH40" i="5"/>
  <c r="AG40" i="5"/>
  <c r="AF40" i="5"/>
  <c r="AE40" i="5"/>
  <c r="AD40" i="5"/>
  <c r="AC40" i="5"/>
  <c r="AB40" i="5"/>
  <c r="AA40" i="5"/>
  <c r="Z40" i="5"/>
  <c r="Y40" i="5"/>
  <c r="X40" i="5"/>
  <c r="W40" i="5"/>
  <c r="V40" i="5"/>
  <c r="U40" i="5"/>
  <c r="T40" i="5"/>
  <c r="S40" i="5"/>
  <c r="R40" i="5"/>
  <c r="Q40" i="5"/>
  <c r="P40" i="5"/>
  <c r="O40" i="5"/>
  <c r="N40" i="5"/>
  <c r="M40" i="5"/>
  <c r="L40" i="5"/>
  <c r="K40" i="5"/>
  <c r="J40" i="5"/>
  <c r="I40" i="5"/>
  <c r="H40" i="5"/>
  <c r="G40" i="5"/>
  <c r="AH39" i="5"/>
  <c r="AG39" i="5"/>
  <c r="AF39" i="5"/>
  <c r="AE39" i="5"/>
  <c r="AD39" i="5"/>
  <c r="AC39" i="5"/>
  <c r="AB39" i="5"/>
  <c r="AA39" i="5"/>
  <c r="Z39" i="5"/>
  <c r="Y39" i="5"/>
  <c r="X39" i="5"/>
  <c r="W39" i="5"/>
  <c r="V39" i="5"/>
  <c r="U39" i="5"/>
  <c r="T39" i="5"/>
  <c r="S39" i="5"/>
  <c r="R39" i="5"/>
  <c r="Q39" i="5"/>
  <c r="P39" i="5"/>
  <c r="O39" i="5"/>
  <c r="N39" i="5"/>
  <c r="M39" i="5"/>
  <c r="L39" i="5"/>
  <c r="K39" i="5"/>
  <c r="J39" i="5"/>
  <c r="I39" i="5"/>
  <c r="H39" i="5"/>
  <c r="G39" i="5"/>
  <c r="AH38" i="5"/>
  <c r="AG38" i="5"/>
  <c r="AF38" i="5"/>
  <c r="AE38" i="5"/>
  <c r="AD38" i="5"/>
  <c r="AC38" i="5"/>
  <c r="AB38" i="5"/>
  <c r="AA38" i="5"/>
  <c r="Z38" i="5"/>
  <c r="Y38" i="5"/>
  <c r="X38" i="5"/>
  <c r="W38" i="5"/>
  <c r="V38" i="5"/>
  <c r="U38" i="5"/>
  <c r="T38" i="5"/>
  <c r="S38" i="5"/>
  <c r="R38" i="5"/>
  <c r="Q38" i="5"/>
  <c r="P38" i="5"/>
  <c r="O38" i="5"/>
  <c r="N38" i="5"/>
  <c r="M38" i="5"/>
  <c r="L38" i="5"/>
  <c r="K38" i="5"/>
  <c r="J38" i="5"/>
  <c r="I38" i="5"/>
  <c r="H38" i="5"/>
  <c r="G38" i="5"/>
  <c r="AH37" i="5"/>
  <c r="AG37" i="5"/>
  <c r="AF37" i="5"/>
  <c r="AE37" i="5"/>
  <c r="AD37" i="5"/>
  <c r="AC37" i="5"/>
  <c r="AB37" i="5"/>
  <c r="AA37" i="5"/>
  <c r="Z37" i="5"/>
  <c r="Y37" i="5"/>
  <c r="X37" i="5"/>
  <c r="W37" i="5"/>
  <c r="V37" i="5"/>
  <c r="U37" i="5"/>
  <c r="T37" i="5"/>
  <c r="S37" i="5"/>
  <c r="R37" i="5"/>
  <c r="Q37" i="5"/>
  <c r="P37" i="5"/>
  <c r="O37" i="5"/>
  <c r="N37" i="5"/>
  <c r="M37" i="5"/>
  <c r="L37" i="5"/>
  <c r="K37" i="5"/>
  <c r="J37" i="5"/>
  <c r="I37" i="5"/>
  <c r="H37" i="5"/>
  <c r="G37" i="5"/>
  <c r="AH36" i="5"/>
  <c r="AG36" i="5"/>
  <c r="AF36" i="5"/>
  <c r="AE36" i="5"/>
  <c r="AD36" i="5"/>
  <c r="AC36" i="5"/>
  <c r="AB36" i="5"/>
  <c r="AA36" i="5"/>
  <c r="Z36" i="5"/>
  <c r="Y36" i="5"/>
  <c r="X36" i="5"/>
  <c r="W36" i="5"/>
  <c r="V36" i="5"/>
  <c r="U36" i="5"/>
  <c r="T36" i="5"/>
  <c r="S36" i="5"/>
  <c r="R36" i="5"/>
  <c r="Q36" i="5"/>
  <c r="P36" i="5"/>
  <c r="O36" i="5"/>
  <c r="N36" i="5"/>
  <c r="M36" i="5"/>
  <c r="L36" i="5"/>
  <c r="K36" i="5"/>
  <c r="J36" i="5"/>
  <c r="I36" i="5"/>
  <c r="H36" i="5"/>
  <c r="G36" i="5"/>
  <c r="AH35" i="5"/>
  <c r="AG35" i="5"/>
  <c r="AF35" i="5"/>
  <c r="AE35" i="5"/>
  <c r="AD35" i="5"/>
  <c r="AC35" i="5"/>
  <c r="AB35" i="5"/>
  <c r="AA35" i="5"/>
  <c r="Z35" i="5"/>
  <c r="Y35" i="5"/>
  <c r="X35" i="5"/>
  <c r="W35" i="5"/>
  <c r="V35" i="5"/>
  <c r="U35" i="5"/>
  <c r="T35" i="5"/>
  <c r="S35" i="5"/>
  <c r="R35" i="5"/>
  <c r="Q35" i="5"/>
  <c r="P35" i="5"/>
  <c r="O35" i="5"/>
  <c r="N35" i="5"/>
  <c r="M35" i="5"/>
  <c r="L35" i="5"/>
  <c r="K35" i="5"/>
  <c r="J35" i="5"/>
  <c r="I35" i="5"/>
  <c r="H35" i="5"/>
  <c r="G35" i="5"/>
  <c r="AH34" i="5"/>
  <c r="AG34" i="5"/>
  <c r="AF34" i="5"/>
  <c r="AE34" i="5"/>
  <c r="AD34" i="5"/>
  <c r="AC34" i="5"/>
  <c r="AB34" i="5"/>
  <c r="AA34" i="5"/>
  <c r="Z34" i="5"/>
  <c r="Y34" i="5"/>
  <c r="X34" i="5"/>
  <c r="W34" i="5"/>
  <c r="V34" i="5"/>
  <c r="U34" i="5"/>
  <c r="T34" i="5"/>
  <c r="S34" i="5"/>
  <c r="R34" i="5"/>
  <c r="Q34" i="5"/>
  <c r="P34" i="5"/>
  <c r="O34" i="5"/>
  <c r="N34" i="5"/>
  <c r="M34" i="5"/>
  <c r="L34" i="5"/>
  <c r="K34" i="5"/>
  <c r="J34" i="5"/>
  <c r="I34" i="5"/>
  <c r="H34" i="5"/>
  <c r="G34" i="5"/>
  <c r="AH33" i="5"/>
  <c r="AG33" i="5"/>
  <c r="AF33" i="5"/>
  <c r="AE33" i="5"/>
  <c r="AD33" i="5"/>
  <c r="AC33" i="5"/>
  <c r="AB33" i="5"/>
  <c r="AA33" i="5"/>
  <c r="Z33" i="5"/>
  <c r="Y33" i="5"/>
  <c r="X33" i="5"/>
  <c r="W33" i="5"/>
  <c r="V33" i="5"/>
  <c r="U33" i="5"/>
  <c r="T33" i="5"/>
  <c r="S33" i="5"/>
  <c r="R33" i="5"/>
  <c r="Q33" i="5"/>
  <c r="P33" i="5"/>
  <c r="O33" i="5"/>
  <c r="N33" i="5"/>
  <c r="M33" i="5"/>
  <c r="L33" i="5"/>
  <c r="K33" i="5"/>
  <c r="J33" i="5"/>
  <c r="I33" i="5"/>
  <c r="H33" i="5"/>
  <c r="G33" i="5"/>
  <c r="AH32" i="5"/>
  <c r="AG32" i="5"/>
  <c r="AF32" i="5"/>
  <c r="AE32" i="5"/>
  <c r="AD32" i="5"/>
  <c r="AC32" i="5"/>
  <c r="AB32" i="5"/>
  <c r="AA32" i="5"/>
  <c r="Z32" i="5"/>
  <c r="Y32" i="5"/>
  <c r="X32" i="5"/>
  <c r="W32" i="5"/>
  <c r="V32" i="5"/>
  <c r="U32" i="5"/>
  <c r="T32" i="5"/>
  <c r="S32" i="5"/>
  <c r="R32" i="5"/>
  <c r="Q32" i="5"/>
  <c r="P32" i="5"/>
  <c r="O32" i="5"/>
  <c r="N32" i="5"/>
  <c r="M32" i="5"/>
  <c r="L32" i="5"/>
  <c r="K32" i="5"/>
  <c r="J32" i="5"/>
  <c r="I32" i="5"/>
  <c r="H32" i="5"/>
  <c r="G32" i="5"/>
  <c r="AH31" i="5"/>
  <c r="AG31" i="5"/>
  <c r="AF31" i="5"/>
  <c r="AE31" i="5"/>
  <c r="AD31" i="5"/>
  <c r="AC31" i="5"/>
  <c r="AB31" i="5"/>
  <c r="AA31" i="5"/>
  <c r="Z31" i="5"/>
  <c r="Y31" i="5"/>
  <c r="X31" i="5"/>
  <c r="W31" i="5"/>
  <c r="V31" i="5"/>
  <c r="U31" i="5"/>
  <c r="T31" i="5"/>
  <c r="S31" i="5"/>
  <c r="R31" i="5"/>
  <c r="Q31" i="5"/>
  <c r="P31" i="5"/>
  <c r="O31" i="5"/>
  <c r="N31" i="5"/>
  <c r="M31" i="5"/>
  <c r="L31" i="5"/>
  <c r="K31" i="5"/>
  <c r="J31" i="5"/>
  <c r="I31" i="5"/>
  <c r="H31" i="5"/>
  <c r="G31" i="5"/>
  <c r="AH30" i="5"/>
  <c r="AG30" i="5"/>
  <c r="AF30" i="5"/>
  <c r="AE30" i="5"/>
  <c r="AD30" i="5"/>
  <c r="AC30" i="5"/>
  <c r="AB30" i="5"/>
  <c r="AA30" i="5"/>
  <c r="Z30" i="5"/>
  <c r="Y30" i="5"/>
  <c r="X30" i="5"/>
  <c r="W30" i="5"/>
  <c r="V30" i="5"/>
  <c r="U30" i="5"/>
  <c r="T30" i="5"/>
  <c r="S30" i="5"/>
  <c r="R30" i="5"/>
  <c r="Q30" i="5"/>
  <c r="P30" i="5"/>
  <c r="O30" i="5"/>
  <c r="N30" i="5"/>
  <c r="M30" i="5"/>
  <c r="L30" i="5"/>
  <c r="K30" i="5"/>
  <c r="J30" i="5"/>
  <c r="I30" i="5"/>
  <c r="H30" i="5"/>
  <c r="G30" i="5"/>
  <c r="AH29" i="5"/>
  <c r="AG29" i="5"/>
  <c r="AF29" i="5"/>
  <c r="AE29" i="5"/>
  <c r="AD29" i="5"/>
  <c r="AC29" i="5"/>
  <c r="AB29" i="5"/>
  <c r="AA29" i="5"/>
  <c r="Z29" i="5"/>
  <c r="Y29" i="5"/>
  <c r="X29" i="5"/>
  <c r="W29" i="5"/>
  <c r="V29" i="5"/>
  <c r="U29" i="5"/>
  <c r="T29" i="5"/>
  <c r="S29" i="5"/>
  <c r="R29" i="5"/>
  <c r="Q29" i="5"/>
  <c r="P29" i="5"/>
  <c r="O29" i="5"/>
  <c r="N29" i="5"/>
  <c r="M29" i="5"/>
  <c r="L29" i="5"/>
  <c r="K29" i="5"/>
  <c r="J29" i="5"/>
  <c r="I29" i="5"/>
  <c r="H29" i="5"/>
  <c r="G29" i="5"/>
  <c r="AH28" i="5"/>
  <c r="AG28" i="5"/>
  <c r="AF28" i="5"/>
  <c r="AE28" i="5"/>
  <c r="AD28" i="5"/>
  <c r="AC28" i="5"/>
  <c r="AB28" i="5"/>
  <c r="AA28" i="5"/>
  <c r="Z28" i="5"/>
  <c r="Y28" i="5"/>
  <c r="X28" i="5"/>
  <c r="W28" i="5"/>
  <c r="V28" i="5"/>
  <c r="U28" i="5"/>
  <c r="T28" i="5"/>
  <c r="S28" i="5"/>
  <c r="R28" i="5"/>
  <c r="Q28" i="5"/>
  <c r="P28" i="5"/>
  <c r="O28" i="5"/>
  <c r="N28" i="5"/>
  <c r="M28" i="5"/>
  <c r="L28" i="5"/>
  <c r="K28" i="5"/>
  <c r="J28" i="5"/>
  <c r="I28" i="5"/>
  <c r="H28" i="5"/>
  <c r="G28" i="5"/>
  <c r="AH27" i="5"/>
  <c r="AG27" i="5"/>
  <c r="AF27" i="5"/>
  <c r="AE27" i="5"/>
  <c r="AD27" i="5"/>
  <c r="AC27" i="5"/>
  <c r="AB27" i="5"/>
  <c r="AA27" i="5"/>
  <c r="Z27" i="5"/>
  <c r="Y27" i="5"/>
  <c r="X27" i="5"/>
  <c r="W27" i="5"/>
  <c r="V27" i="5"/>
  <c r="U27" i="5"/>
  <c r="T27" i="5"/>
  <c r="S27" i="5"/>
  <c r="R27" i="5"/>
  <c r="Q27" i="5"/>
  <c r="P27" i="5"/>
  <c r="O27" i="5"/>
  <c r="N27" i="5"/>
  <c r="M27" i="5"/>
  <c r="L27" i="5"/>
  <c r="K27" i="5"/>
  <c r="J27" i="5"/>
  <c r="I27" i="5"/>
  <c r="H27" i="5"/>
  <c r="G27" i="5"/>
  <c r="AH26" i="5"/>
  <c r="AG26" i="5"/>
  <c r="AF26" i="5"/>
  <c r="AE26" i="5"/>
  <c r="AD26" i="5"/>
  <c r="AC26" i="5"/>
  <c r="AB26" i="5"/>
  <c r="AA26" i="5"/>
  <c r="Z26" i="5"/>
  <c r="Y26" i="5"/>
  <c r="X26" i="5"/>
  <c r="W26" i="5"/>
  <c r="V26" i="5"/>
  <c r="U26" i="5"/>
  <c r="T26" i="5"/>
  <c r="S26" i="5"/>
  <c r="R26" i="5"/>
  <c r="Q26" i="5"/>
  <c r="P26" i="5"/>
  <c r="O26" i="5"/>
  <c r="N26" i="5"/>
  <c r="M26" i="5"/>
  <c r="L26" i="5"/>
  <c r="K26" i="5"/>
  <c r="J26" i="5"/>
  <c r="I26" i="5"/>
  <c r="H26" i="5"/>
  <c r="G26" i="5"/>
  <c r="AH25" i="5"/>
  <c r="AG25" i="5"/>
  <c r="AF25" i="5"/>
  <c r="AE25" i="5"/>
  <c r="AD25" i="5"/>
  <c r="AC25" i="5"/>
  <c r="AB25" i="5"/>
  <c r="AA25" i="5"/>
  <c r="Z25" i="5"/>
  <c r="Y25" i="5"/>
  <c r="X25" i="5"/>
  <c r="W25" i="5"/>
  <c r="V25" i="5"/>
  <c r="U25" i="5"/>
  <c r="T25" i="5"/>
  <c r="S25" i="5"/>
  <c r="R25" i="5"/>
  <c r="Q25" i="5"/>
  <c r="P25" i="5"/>
  <c r="O25" i="5"/>
  <c r="N25" i="5"/>
  <c r="M25" i="5"/>
  <c r="L25" i="5"/>
  <c r="K25" i="5"/>
  <c r="J25" i="5"/>
  <c r="I25" i="5"/>
  <c r="H25" i="5"/>
  <c r="G25" i="5"/>
  <c r="AH24" i="5"/>
  <c r="AG24" i="5"/>
  <c r="AF24" i="5"/>
  <c r="AE24" i="5"/>
  <c r="AD24" i="5"/>
  <c r="AC24" i="5"/>
  <c r="AB24" i="5"/>
  <c r="AA24" i="5"/>
  <c r="Z24" i="5"/>
  <c r="Y24" i="5"/>
  <c r="X24" i="5"/>
  <c r="W24" i="5"/>
  <c r="V24" i="5"/>
  <c r="U24" i="5"/>
  <c r="T24" i="5"/>
  <c r="S24" i="5"/>
  <c r="R24" i="5"/>
  <c r="Q24" i="5"/>
  <c r="P24" i="5"/>
  <c r="O24" i="5"/>
  <c r="N24" i="5"/>
  <c r="M24" i="5"/>
  <c r="L24" i="5"/>
  <c r="K24" i="5"/>
  <c r="J24" i="5"/>
  <c r="I24" i="5"/>
  <c r="H24" i="5"/>
  <c r="G24" i="5"/>
  <c r="AH23" i="5"/>
  <c r="AG23" i="5"/>
  <c r="AF23" i="5"/>
  <c r="AE23" i="5"/>
  <c r="AD23" i="5"/>
  <c r="AC23" i="5"/>
  <c r="AB23" i="5"/>
  <c r="AA23" i="5"/>
  <c r="Z23" i="5"/>
  <c r="Y23" i="5"/>
  <c r="X23" i="5"/>
  <c r="W23" i="5"/>
  <c r="V23" i="5"/>
  <c r="U23" i="5"/>
  <c r="T23" i="5"/>
  <c r="S23" i="5"/>
  <c r="R23" i="5"/>
  <c r="Q23" i="5"/>
  <c r="P23" i="5"/>
  <c r="O23" i="5"/>
  <c r="N23" i="5"/>
  <c r="M23" i="5"/>
  <c r="L23" i="5"/>
  <c r="K23" i="5"/>
  <c r="J23" i="5"/>
  <c r="I23" i="5"/>
  <c r="H23" i="5"/>
  <c r="G23" i="5"/>
  <c r="AH22" i="5"/>
  <c r="AG22" i="5"/>
  <c r="AF22" i="5"/>
  <c r="AE22" i="5"/>
  <c r="AD22" i="5"/>
  <c r="AC22" i="5"/>
  <c r="AB22" i="5"/>
  <c r="AA22" i="5"/>
  <c r="Z22" i="5"/>
  <c r="Y22" i="5"/>
  <c r="X22" i="5"/>
  <c r="W22" i="5"/>
  <c r="V22" i="5"/>
  <c r="U22" i="5"/>
  <c r="T22" i="5"/>
  <c r="S22" i="5"/>
  <c r="R22" i="5"/>
  <c r="Q22" i="5"/>
  <c r="P22" i="5"/>
  <c r="O22" i="5"/>
  <c r="N22" i="5"/>
  <c r="M22" i="5"/>
  <c r="L22" i="5"/>
  <c r="K22" i="5"/>
  <c r="J22" i="5"/>
  <c r="I22" i="5"/>
  <c r="H22" i="5"/>
  <c r="G22" i="5"/>
  <c r="AH21" i="5"/>
  <c r="AG21" i="5"/>
  <c r="AF21" i="5"/>
  <c r="AE21" i="5"/>
  <c r="AD21" i="5"/>
  <c r="AC21" i="5"/>
  <c r="AB21" i="5"/>
  <c r="AA21" i="5"/>
  <c r="Z21" i="5"/>
  <c r="Y21" i="5"/>
  <c r="X21" i="5"/>
  <c r="W21" i="5"/>
  <c r="V21" i="5"/>
  <c r="U21" i="5"/>
  <c r="T21" i="5"/>
  <c r="S21" i="5"/>
  <c r="R21" i="5"/>
  <c r="Q21" i="5"/>
  <c r="P21" i="5"/>
  <c r="O21" i="5"/>
  <c r="N21" i="5"/>
  <c r="M21" i="5"/>
  <c r="L21" i="5"/>
  <c r="K21" i="5"/>
  <c r="J21" i="5"/>
  <c r="I21" i="5"/>
  <c r="H21" i="5"/>
  <c r="G21"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AH19" i="5"/>
  <c r="AG19" i="5"/>
  <c r="AF19" i="5"/>
  <c r="AE19" i="5"/>
  <c r="AD19" i="5"/>
  <c r="AC19" i="5"/>
  <c r="AB19" i="5"/>
  <c r="AA19" i="5"/>
  <c r="Z19" i="5"/>
  <c r="Y19" i="5"/>
  <c r="X19" i="5"/>
  <c r="W19" i="5"/>
  <c r="V19" i="5"/>
  <c r="U19" i="5"/>
  <c r="T19" i="5"/>
  <c r="S19" i="5"/>
  <c r="R19" i="5"/>
  <c r="Q19" i="5"/>
  <c r="P19" i="5"/>
  <c r="O19" i="5"/>
  <c r="N19" i="5"/>
  <c r="M19" i="5"/>
  <c r="L19" i="5"/>
  <c r="K19" i="5"/>
  <c r="J19" i="5"/>
  <c r="I19" i="5"/>
  <c r="H19" i="5"/>
  <c r="G19" i="5"/>
  <c r="AH18" i="5"/>
  <c r="AG18" i="5"/>
  <c r="AF18" i="5"/>
  <c r="AE18" i="5"/>
  <c r="AD18" i="5"/>
  <c r="AC18" i="5"/>
  <c r="AB18" i="5"/>
  <c r="AA18" i="5"/>
  <c r="Z18" i="5"/>
  <c r="Y18" i="5"/>
  <c r="X18" i="5"/>
  <c r="W18" i="5"/>
  <c r="V18" i="5"/>
  <c r="U18" i="5"/>
  <c r="T18" i="5"/>
  <c r="S18" i="5"/>
  <c r="R18" i="5"/>
  <c r="Q18" i="5"/>
  <c r="P18" i="5"/>
  <c r="O18" i="5"/>
  <c r="N18" i="5"/>
  <c r="M18" i="5"/>
  <c r="L18" i="5"/>
  <c r="K18" i="5"/>
  <c r="J18" i="5"/>
  <c r="I18" i="5"/>
  <c r="H18" i="5"/>
  <c r="G18" i="5"/>
  <c r="AH17" i="5"/>
  <c r="AG17" i="5"/>
  <c r="AF17" i="5"/>
  <c r="AE17" i="5"/>
  <c r="AD17" i="5"/>
  <c r="AC17" i="5"/>
  <c r="AB17" i="5"/>
  <c r="AA17" i="5"/>
  <c r="Z17" i="5"/>
  <c r="Y17" i="5"/>
  <c r="X17" i="5"/>
  <c r="W17" i="5"/>
  <c r="V17" i="5"/>
  <c r="U17" i="5"/>
  <c r="T17" i="5"/>
  <c r="S17" i="5"/>
  <c r="R17" i="5"/>
  <c r="Q17" i="5"/>
  <c r="P17" i="5"/>
  <c r="O17" i="5"/>
  <c r="N17" i="5"/>
  <c r="M17" i="5"/>
  <c r="L17" i="5"/>
  <c r="K17" i="5"/>
  <c r="J17" i="5"/>
  <c r="I17" i="5"/>
  <c r="H17" i="5"/>
  <c r="G17" i="5"/>
  <c r="AH16" i="5"/>
  <c r="AG16" i="5"/>
  <c r="AF16" i="5"/>
  <c r="AE16" i="5"/>
  <c r="AD16" i="5"/>
  <c r="AC16" i="5"/>
  <c r="AB16" i="5"/>
  <c r="AA16" i="5"/>
  <c r="Z16" i="5"/>
  <c r="Y16" i="5"/>
  <c r="X16" i="5"/>
  <c r="W16" i="5"/>
  <c r="V16" i="5"/>
  <c r="U16" i="5"/>
  <c r="T16" i="5"/>
  <c r="S16" i="5"/>
  <c r="R16" i="5"/>
  <c r="Q16" i="5"/>
  <c r="P16" i="5"/>
  <c r="O16" i="5"/>
  <c r="N16" i="5"/>
  <c r="M16" i="5"/>
  <c r="L16" i="5"/>
  <c r="K16" i="5"/>
  <c r="J16" i="5"/>
  <c r="I16" i="5"/>
  <c r="H16" i="5"/>
  <c r="G16" i="5"/>
  <c r="AH15" i="5"/>
  <c r="AG15" i="5"/>
  <c r="AF15" i="5"/>
  <c r="AE15" i="5"/>
  <c r="AD15" i="5"/>
  <c r="AC15" i="5"/>
  <c r="AB15" i="5"/>
  <c r="AA15" i="5"/>
  <c r="Z15" i="5"/>
  <c r="Y15" i="5"/>
  <c r="X15" i="5"/>
  <c r="W15" i="5"/>
  <c r="V15" i="5"/>
  <c r="U15" i="5"/>
  <c r="T15" i="5"/>
  <c r="S15" i="5"/>
  <c r="R15" i="5"/>
  <c r="Q15" i="5"/>
  <c r="P15" i="5"/>
  <c r="O15" i="5"/>
  <c r="N15" i="5"/>
  <c r="M15" i="5"/>
  <c r="L15" i="5"/>
  <c r="K15" i="5"/>
  <c r="J15" i="5"/>
  <c r="I15" i="5"/>
  <c r="H15" i="5"/>
  <c r="G15" i="5"/>
  <c r="AH14" i="5"/>
  <c r="AG14" i="5"/>
  <c r="AF14" i="5"/>
  <c r="AE14" i="5"/>
  <c r="AD14" i="5"/>
  <c r="AC14" i="5"/>
  <c r="AB14" i="5"/>
  <c r="AA14" i="5"/>
  <c r="Z14" i="5"/>
  <c r="Y14" i="5"/>
  <c r="X14" i="5"/>
  <c r="W14" i="5"/>
  <c r="V14" i="5"/>
  <c r="U14" i="5"/>
  <c r="T14" i="5"/>
  <c r="S14" i="5"/>
  <c r="R14" i="5"/>
  <c r="Q14" i="5"/>
  <c r="P14" i="5"/>
  <c r="O14" i="5"/>
  <c r="N14" i="5"/>
  <c r="M14" i="5"/>
  <c r="L14" i="5"/>
  <c r="K14" i="5"/>
  <c r="J14" i="5"/>
  <c r="I14" i="5"/>
  <c r="H14" i="5"/>
  <c r="G14" i="5"/>
  <c r="AH13" i="5"/>
  <c r="AG13" i="5"/>
  <c r="AF13" i="5"/>
  <c r="AE13" i="5"/>
  <c r="AD13" i="5"/>
  <c r="AC13" i="5"/>
  <c r="AB13" i="5"/>
  <c r="AA13" i="5"/>
  <c r="Z13" i="5"/>
  <c r="Y13" i="5"/>
  <c r="X13" i="5"/>
  <c r="W13" i="5"/>
  <c r="V13" i="5"/>
  <c r="U13" i="5"/>
  <c r="T13" i="5"/>
  <c r="S13" i="5"/>
  <c r="R13" i="5"/>
  <c r="Q13" i="5"/>
  <c r="P13" i="5"/>
  <c r="O13" i="5"/>
  <c r="N13" i="5"/>
  <c r="M13" i="5"/>
  <c r="L13" i="5"/>
  <c r="K13" i="5"/>
  <c r="J13" i="5"/>
  <c r="I13" i="5"/>
  <c r="H13" i="5"/>
  <c r="G13" i="5"/>
  <c r="AH12" i="5"/>
  <c r="AG12" i="5"/>
  <c r="AF12" i="5"/>
  <c r="AE12" i="5"/>
  <c r="AD12" i="5"/>
  <c r="AC12" i="5"/>
  <c r="AB12" i="5"/>
  <c r="AA12" i="5"/>
  <c r="Z12" i="5"/>
  <c r="Y12" i="5"/>
  <c r="X12" i="5"/>
  <c r="W12" i="5"/>
  <c r="V12" i="5"/>
  <c r="U12" i="5"/>
  <c r="T12" i="5"/>
  <c r="S12" i="5"/>
  <c r="R12" i="5"/>
  <c r="Q12" i="5"/>
  <c r="P12" i="5"/>
  <c r="O12" i="5"/>
  <c r="N12" i="5"/>
  <c r="M12" i="5"/>
  <c r="L12" i="5"/>
  <c r="K12" i="5"/>
  <c r="J12" i="5"/>
  <c r="I12" i="5"/>
  <c r="H12" i="5"/>
  <c r="G12" i="5"/>
  <c r="AH11" i="5"/>
  <c r="AG11" i="5"/>
  <c r="AF11" i="5"/>
  <c r="AE11" i="5"/>
  <c r="AD11" i="5"/>
  <c r="AC11" i="5"/>
  <c r="AB11" i="5"/>
  <c r="AA11" i="5"/>
  <c r="Z11" i="5"/>
  <c r="Y11" i="5"/>
  <c r="X11" i="5"/>
  <c r="W11" i="5"/>
  <c r="V11" i="5"/>
  <c r="U11" i="5"/>
  <c r="T11" i="5"/>
  <c r="S11" i="5"/>
  <c r="R11" i="5"/>
  <c r="Q11" i="5"/>
  <c r="P11" i="5"/>
  <c r="O11" i="5"/>
  <c r="N11" i="5"/>
  <c r="M11" i="5"/>
  <c r="L11" i="5"/>
  <c r="K11" i="5"/>
  <c r="J11" i="5"/>
  <c r="I11" i="5"/>
  <c r="H11" i="5"/>
  <c r="G11" i="5"/>
  <c r="AH10" i="5"/>
  <c r="AG10" i="5"/>
  <c r="AF10" i="5"/>
  <c r="AE10" i="5"/>
  <c r="AD10" i="5"/>
  <c r="AC10" i="5"/>
  <c r="AB10" i="5"/>
  <c r="AA10" i="5"/>
  <c r="Z10" i="5"/>
  <c r="Y10" i="5"/>
  <c r="X10" i="5"/>
  <c r="W10" i="5"/>
  <c r="V10" i="5"/>
  <c r="U10" i="5"/>
  <c r="T10" i="5"/>
  <c r="S10" i="5"/>
  <c r="R10" i="5"/>
  <c r="Q10" i="5"/>
  <c r="P10" i="5"/>
  <c r="O10" i="5"/>
  <c r="N10" i="5"/>
  <c r="M10" i="5"/>
  <c r="L10" i="5"/>
  <c r="K10" i="5"/>
  <c r="J10" i="5"/>
  <c r="I10" i="5"/>
  <c r="H10" i="5"/>
  <c r="G10" i="5"/>
  <c r="AH9" i="5"/>
  <c r="AG9" i="5"/>
  <c r="AF9" i="5"/>
  <c r="AE9" i="5"/>
  <c r="AD9" i="5"/>
  <c r="AC9" i="5"/>
  <c r="AB9" i="5"/>
  <c r="AA9" i="5"/>
  <c r="Z9" i="5"/>
  <c r="Y9" i="5"/>
  <c r="X9" i="5"/>
  <c r="W9" i="5"/>
  <c r="V9" i="5"/>
  <c r="U9" i="5"/>
  <c r="T9" i="5"/>
  <c r="S9" i="5"/>
  <c r="R9" i="5"/>
  <c r="Q9" i="5"/>
  <c r="P9" i="5"/>
  <c r="O9" i="5"/>
  <c r="N9" i="5"/>
  <c r="M9" i="5"/>
  <c r="L9" i="5"/>
  <c r="K9" i="5"/>
  <c r="J9" i="5"/>
  <c r="I9" i="5"/>
  <c r="H9" i="5"/>
  <c r="G9" i="5"/>
  <c r="AH8" i="5"/>
  <c r="AG8" i="5"/>
  <c r="AF8" i="5"/>
  <c r="AE8" i="5"/>
  <c r="AD8" i="5"/>
  <c r="AC8" i="5"/>
  <c r="AB8" i="5"/>
  <c r="AA8" i="5"/>
  <c r="Z8" i="5"/>
  <c r="Y8" i="5"/>
  <c r="X8" i="5"/>
  <c r="W8" i="5"/>
  <c r="V8" i="5"/>
  <c r="U8" i="5"/>
  <c r="T8" i="5"/>
  <c r="S8" i="5"/>
  <c r="R8" i="5"/>
  <c r="Q8" i="5"/>
  <c r="P8" i="5"/>
  <c r="O8" i="5"/>
  <c r="N8" i="5"/>
  <c r="M8" i="5"/>
  <c r="L8" i="5"/>
  <c r="K8" i="5"/>
  <c r="J8" i="5"/>
  <c r="I8" i="5"/>
  <c r="H8" i="5"/>
  <c r="G8" i="5"/>
  <c r="AH7" i="5"/>
  <c r="AG7" i="5"/>
  <c r="AF7" i="5"/>
  <c r="AE7" i="5"/>
  <c r="AD7" i="5"/>
  <c r="AC7" i="5"/>
  <c r="AB7" i="5"/>
  <c r="AA7" i="5"/>
  <c r="Z7" i="5"/>
  <c r="Y7" i="5"/>
  <c r="X7" i="5"/>
  <c r="W7" i="5"/>
  <c r="V7" i="5"/>
  <c r="U7" i="5"/>
  <c r="T7" i="5"/>
  <c r="S7" i="5"/>
  <c r="R7" i="5"/>
  <c r="Q7" i="5"/>
  <c r="P7" i="5"/>
  <c r="O7" i="5"/>
  <c r="N7" i="5"/>
  <c r="M7" i="5"/>
  <c r="L7" i="5"/>
  <c r="K7" i="5"/>
  <c r="J7" i="5"/>
  <c r="I7" i="5"/>
  <c r="H7" i="5"/>
  <c r="G7" i="5"/>
  <c r="AH6" i="5"/>
  <c r="AG6" i="5"/>
  <c r="AF6" i="5"/>
  <c r="AE6" i="5"/>
  <c r="AD6" i="5"/>
  <c r="AC6" i="5"/>
  <c r="AB6" i="5"/>
  <c r="AA6" i="5"/>
  <c r="Z6" i="5"/>
  <c r="Y6" i="5"/>
  <c r="X6" i="5"/>
  <c r="W6" i="5"/>
  <c r="V6" i="5"/>
  <c r="U6" i="5"/>
  <c r="T6" i="5"/>
  <c r="S6" i="5"/>
  <c r="R6" i="5"/>
  <c r="Q6" i="5"/>
  <c r="P6" i="5"/>
  <c r="O6" i="5"/>
  <c r="N6" i="5"/>
  <c r="M6" i="5"/>
  <c r="L6" i="5"/>
  <c r="K6" i="5"/>
  <c r="J6" i="5"/>
  <c r="I6" i="5"/>
  <c r="H6" i="5"/>
  <c r="G6" i="5"/>
  <c r="AH5" i="5"/>
  <c r="AG5" i="5"/>
  <c r="AF5" i="5"/>
  <c r="AE5" i="5"/>
  <c r="AD5" i="5"/>
  <c r="AC5" i="5"/>
  <c r="AB5" i="5"/>
  <c r="AA5" i="5"/>
  <c r="Z5" i="5"/>
  <c r="Y5" i="5"/>
  <c r="X5" i="5"/>
  <c r="W5" i="5"/>
  <c r="V5" i="5"/>
  <c r="U5" i="5"/>
  <c r="T5" i="5"/>
  <c r="S5" i="5"/>
  <c r="R5" i="5"/>
  <c r="Q5" i="5"/>
  <c r="P5" i="5"/>
  <c r="O5" i="5"/>
  <c r="N5" i="5"/>
  <c r="M5" i="5"/>
  <c r="L5" i="5"/>
  <c r="K5" i="5"/>
  <c r="J5" i="5"/>
  <c r="I5" i="5"/>
  <c r="H5" i="5"/>
  <c r="G5" i="5"/>
  <c r="AH4" i="5"/>
  <c r="AG4" i="5"/>
  <c r="AF4" i="5"/>
  <c r="AE4" i="5"/>
  <c r="AD4" i="5"/>
  <c r="AC4" i="5"/>
  <c r="AB4" i="5"/>
  <c r="AA4" i="5"/>
  <c r="Z4" i="5"/>
  <c r="Y4" i="5"/>
  <c r="X4" i="5"/>
  <c r="W4" i="5"/>
  <c r="V4" i="5"/>
  <c r="U4" i="5"/>
  <c r="T4" i="5"/>
  <c r="S4" i="5"/>
  <c r="R4" i="5"/>
  <c r="Q4" i="5"/>
  <c r="P4" i="5"/>
  <c r="O4" i="5"/>
  <c r="N4" i="5"/>
  <c r="M4" i="5"/>
  <c r="L4" i="5"/>
  <c r="K4" i="5"/>
  <c r="J4" i="5"/>
  <c r="I4" i="5"/>
  <c r="H4" i="5"/>
  <c r="G4" i="5"/>
  <c r="B9" i="3"/>
  <c r="B112" i="3"/>
  <c r="B109" i="3"/>
  <c r="B106" i="3"/>
  <c r="B103" i="3"/>
  <c r="B100" i="3"/>
  <c r="B97" i="3"/>
  <c r="B94" i="3"/>
  <c r="B91" i="3"/>
  <c r="B88" i="3"/>
  <c r="B85" i="3"/>
  <c r="B82" i="3"/>
  <c r="B79" i="3"/>
  <c r="B76" i="3"/>
  <c r="B73" i="3"/>
  <c r="B70" i="3"/>
  <c r="B67" i="3"/>
  <c r="B64" i="3"/>
  <c r="B61" i="3"/>
  <c r="B58" i="3"/>
  <c r="B55" i="3"/>
  <c r="B52" i="3"/>
  <c r="B49" i="3"/>
  <c r="B46" i="3"/>
  <c r="B43" i="3"/>
  <c r="B40" i="3"/>
  <c r="B37" i="3"/>
  <c r="B34" i="3"/>
  <c r="B31" i="3"/>
  <c r="B28" i="3"/>
  <c r="B25" i="3"/>
  <c r="B22" i="3"/>
  <c r="B19" i="3"/>
  <c r="B16" i="3"/>
  <c r="B13" i="3"/>
  <c r="B7" i="3"/>
  <c r="B3" i="3"/>
  <c r="T36" i="4"/>
  <c r="Y33" i="4"/>
  <c r="F29" i="4"/>
  <c r="B24" i="4"/>
  <c r="J19" i="4"/>
  <c r="O34" i="4"/>
  <c r="N33" i="4"/>
  <c r="M34" i="4"/>
  <c r="N28" i="4"/>
  <c r="R29" i="4"/>
  <c r="S35" i="4"/>
  <c r="F24" i="4"/>
  <c r="N34" i="4"/>
  <c r="E34" i="4"/>
  <c r="P35" i="4"/>
  <c r="Q33" i="4"/>
  <c r="M32" i="4"/>
  <c r="L22" i="4"/>
  <c r="P37" i="4"/>
  <c r="G35" i="4"/>
  <c r="N29" i="4"/>
  <c r="J21" i="4"/>
  <c r="D36" i="4"/>
  <c r="Q30" i="4"/>
  <c r="H23" i="4"/>
  <c r="L37" i="4"/>
  <c r="I32" i="4"/>
  <c r="N25" i="4"/>
  <c r="C12" i="4"/>
  <c r="I33" i="4"/>
  <c r="D27" i="4"/>
  <c r="H16" i="4"/>
  <c r="H34" i="4"/>
  <c r="I28" i="4"/>
  <c r="H17" i="4"/>
  <c r="W33" i="4"/>
  <c r="I21" i="4"/>
  <c r="P31" i="4"/>
  <c r="C18" i="4"/>
  <c r="B34" i="4"/>
  <c r="C28" i="4"/>
  <c r="T31" i="4"/>
  <c r="X37" i="4"/>
  <c r="U32" i="4"/>
  <c r="J26" i="4"/>
  <c r="C15" i="4"/>
  <c r="U33" i="4"/>
  <c r="P27" i="4"/>
  <c r="E18" i="4"/>
  <c r="T34" i="4"/>
  <c r="B29" i="4"/>
  <c r="I20" i="4"/>
  <c r="C33" i="4"/>
  <c r="D33" i="4"/>
  <c r="F15" i="4"/>
  <c r="J29" i="4"/>
  <c r="O30" i="4"/>
  <c r="S31" i="4"/>
  <c r="H32" i="4"/>
  <c r="AA37" i="4"/>
  <c r="L34" i="4"/>
  <c r="C34" i="4"/>
  <c r="J31" i="4"/>
  <c r="C31" i="4"/>
  <c r="B32" i="4"/>
  <c r="L21" i="4"/>
  <c r="K19" i="4"/>
  <c r="L24" i="4"/>
  <c r="B13" i="4"/>
  <c r="F36" i="4"/>
  <c r="K27" i="4"/>
  <c r="G18" i="4"/>
  <c r="D12" i="4"/>
  <c r="E27" i="4"/>
  <c r="H37" i="4"/>
  <c r="J25" i="4"/>
  <c r="E33" i="4"/>
  <c r="D16" i="4"/>
  <c r="E28" i="4"/>
  <c r="U30" i="4"/>
  <c r="L29" i="4"/>
  <c r="J28" i="4"/>
  <c r="M30" i="4"/>
  <c r="Q31" i="4"/>
  <c r="H24" i="4"/>
  <c r="S29" i="4"/>
  <c r="D13" i="4"/>
  <c r="R36" i="4"/>
  <c r="G31" i="4"/>
  <c r="D22" i="4"/>
  <c r="N23" i="4"/>
  <c r="H25" i="4"/>
  <c r="P36" i="4"/>
  <c r="H19" i="4"/>
  <c r="E35" i="4"/>
  <c r="T32" i="4"/>
  <c r="T33" i="4"/>
  <c r="G29" i="4"/>
  <c r="P34" i="4"/>
  <c r="Q28" i="4"/>
  <c r="E20" i="4"/>
  <c r="N35" i="4"/>
  <c r="U29" i="4"/>
  <c r="E22" i="4"/>
  <c r="W36" i="4"/>
  <c r="O31" i="4"/>
  <c r="M24" i="4"/>
  <c r="S37" i="4"/>
  <c r="P32" i="4"/>
  <c r="E26" i="4"/>
  <c r="C14" i="4"/>
  <c r="P33" i="4"/>
  <c r="E15" i="4"/>
  <c r="G33" i="4"/>
  <c r="E30" i="4"/>
  <c r="J33" i="4"/>
  <c r="I30" i="4"/>
  <c r="E32" i="4"/>
  <c r="B10" i="4"/>
  <c r="Q26" i="4"/>
  <c r="D34" i="4"/>
  <c r="D17" i="4"/>
  <c r="P26" i="4"/>
  <c r="P25" i="4"/>
  <c r="O28" i="4"/>
  <c r="X32" i="4"/>
  <c r="D32" i="4"/>
  <c r="Q27" i="4"/>
  <c r="S34" i="4"/>
  <c r="M21" i="4"/>
  <c r="I26" i="4"/>
  <c r="J30" i="4"/>
  <c r="AB37" i="4"/>
  <c r="G15" i="4"/>
  <c r="I18" i="4"/>
  <c r="G19" i="4"/>
  <c r="J32" i="4"/>
  <c r="S28" i="4"/>
  <c r="I27" i="4"/>
  <c r="B20" i="4"/>
  <c r="B22" i="4"/>
  <c r="K32" i="4"/>
  <c r="F30" i="4"/>
  <c r="J18" i="4"/>
  <c r="M23" i="4"/>
  <c r="X33" i="4"/>
  <c r="S27" i="4"/>
  <c r="H18" i="4"/>
  <c r="W34" i="4"/>
  <c r="E29" i="4"/>
  <c r="L20" i="4"/>
  <c r="G36" i="4"/>
  <c r="T30" i="4"/>
  <c r="K23" i="4"/>
  <c r="C37" i="4"/>
  <c r="V31" i="4"/>
  <c r="E25" i="4"/>
  <c r="Z37" i="4"/>
  <c r="W32" i="4"/>
  <c r="L26" i="4"/>
  <c r="C11" i="4"/>
  <c r="N32" i="4"/>
  <c r="E13" i="4"/>
  <c r="L28" i="4"/>
  <c r="T37" i="4"/>
  <c r="Q32" i="4"/>
  <c r="F26" i="4"/>
  <c r="P28" i="4"/>
  <c r="S36" i="4"/>
  <c r="K31" i="4"/>
  <c r="I24" i="4"/>
  <c r="O37" i="4"/>
  <c r="L32" i="4"/>
  <c r="Q25" i="4"/>
  <c r="C13" i="4"/>
  <c r="L33" i="4"/>
  <c r="G27" i="4"/>
  <c r="F14" i="4"/>
  <c r="I29" i="4"/>
  <c r="J22" i="4"/>
  <c r="D18" i="4"/>
  <c r="H21" i="4"/>
  <c r="G26" i="4"/>
  <c r="B25" i="4"/>
  <c r="F28" i="4"/>
  <c r="M26" i="4"/>
  <c r="M28" i="4"/>
  <c r="C30" i="4"/>
  <c r="C17" i="4"/>
  <c r="O23" i="4"/>
  <c r="L27" i="4"/>
  <c r="T28" i="4"/>
  <c r="V36" i="4"/>
  <c r="E17" i="4"/>
  <c r="Y34" i="4"/>
  <c r="R37" i="4"/>
  <c r="O32" i="4"/>
  <c r="D26" i="4"/>
  <c r="B14" i="4"/>
  <c r="O33" i="4"/>
  <c r="J27" i="4"/>
  <c r="G17" i="4"/>
  <c r="Z34" i="4"/>
  <c r="H29" i="4"/>
  <c r="X35" i="4"/>
  <c r="K30" i="4"/>
  <c r="B23" i="4"/>
  <c r="U36" i="4"/>
  <c r="M31" i="4"/>
  <c r="AB36" i="4"/>
  <c r="M29" i="4"/>
  <c r="O25" i="4"/>
  <c r="C25" i="4"/>
  <c r="T29" i="4"/>
  <c r="J36" i="4"/>
  <c r="F37" i="4"/>
  <c r="M37" i="4"/>
  <c r="H20" i="4"/>
  <c r="E16" i="4"/>
  <c r="G20" i="4"/>
  <c r="D14" i="4"/>
  <c r="M33" i="4"/>
  <c r="D15" i="4"/>
  <c r="K21" i="4"/>
  <c r="L36" i="4"/>
  <c r="B35" i="4"/>
  <c r="Y35" i="4"/>
  <c r="C23" i="4"/>
  <c r="D29" i="4"/>
  <c r="T35" i="4"/>
  <c r="K22" i="4"/>
  <c r="I31" i="4"/>
  <c r="X36" i="4"/>
  <c r="N37" i="4"/>
  <c r="E14" i="4"/>
  <c r="D19" i="4"/>
  <c r="C16" i="4"/>
  <c r="E37" i="4"/>
  <c r="V30" i="4"/>
  <c r="H30" i="4"/>
  <c r="H33" i="4"/>
  <c r="C27" i="4"/>
  <c r="G16" i="4"/>
  <c r="G34" i="4"/>
  <c r="H28" i="4"/>
  <c r="F19" i="4"/>
  <c r="Q35" i="4"/>
  <c r="D30" i="4"/>
  <c r="H22" i="4"/>
  <c r="N36" i="4"/>
  <c r="F31" i="4"/>
  <c r="D24" i="4"/>
  <c r="J37" i="4"/>
  <c r="G32" i="4"/>
  <c r="L25" i="4"/>
  <c r="Q37" i="4"/>
  <c r="D31" i="4"/>
  <c r="C19" i="4"/>
  <c r="N27" i="4"/>
  <c r="D37" i="4"/>
  <c r="W31" i="4"/>
  <c r="F25" i="4"/>
  <c r="B27" i="4"/>
  <c r="C36" i="4"/>
  <c r="P30" i="4"/>
  <c r="G23" i="4"/>
  <c r="Z36" i="4"/>
  <c r="R31" i="4"/>
  <c r="P24" i="4"/>
  <c r="V37" i="4"/>
  <c r="S32" i="4"/>
  <c r="H26" i="4"/>
  <c r="AC37" i="4"/>
  <c r="O26" i="4"/>
  <c r="F18" i="4"/>
  <c r="S30" i="4"/>
  <c r="B17" i="4"/>
  <c r="F23" i="4"/>
  <c r="F21" i="4"/>
  <c r="M25" i="4"/>
  <c r="J20" i="4"/>
  <c r="O24" i="4"/>
  <c r="D28" i="4"/>
  <c r="B26" i="4"/>
  <c r="C20" i="4"/>
  <c r="G25" i="4"/>
  <c r="I36" i="4"/>
  <c r="J35" i="4"/>
  <c r="U35" i="4"/>
  <c r="K33" i="4"/>
  <c r="D21" i="4"/>
  <c r="K24" i="4"/>
  <c r="H36" i="4"/>
  <c r="O36" i="4"/>
  <c r="E24" i="4"/>
  <c r="M35" i="4"/>
  <c r="B31" i="4"/>
  <c r="C32" i="4"/>
  <c r="L23" i="4"/>
  <c r="U37" i="4"/>
  <c r="D23" i="4"/>
  <c r="I25" i="4"/>
  <c r="C22" i="4"/>
  <c r="F33" i="4"/>
  <c r="B37" i="4"/>
  <c r="U31" i="4"/>
  <c r="D25" i="4"/>
  <c r="Y37" i="4"/>
  <c r="V32" i="4"/>
  <c r="K26" i="4"/>
  <c r="J34" i="4"/>
  <c r="K28" i="4"/>
  <c r="I19" i="4"/>
  <c r="H35" i="4"/>
  <c r="O29" i="4"/>
  <c r="E36" i="4"/>
  <c r="R30" i="4"/>
  <c r="I23" i="4"/>
  <c r="R27" i="4"/>
  <c r="N24" i="4"/>
  <c r="L30" i="4"/>
  <c r="M22" i="4"/>
  <c r="V34" i="4"/>
  <c r="K20" i="4"/>
  <c r="G30" i="4"/>
  <c r="Q36" i="4"/>
  <c r="G24" i="4"/>
  <c r="E21" i="4"/>
  <c r="U34" i="4"/>
  <c r="B36" i="4"/>
  <c r="K37" i="4"/>
  <c r="W37" i="4"/>
  <c r="G22" i="4"/>
  <c r="B15" i="4"/>
  <c r="I17" i="4"/>
  <c r="N31" i="4"/>
  <c r="F27" i="4"/>
  <c r="M36" i="4"/>
  <c r="E31" i="4"/>
  <c r="C24" i="4"/>
  <c r="I37" i="4"/>
  <c r="F32" i="4"/>
  <c r="K25" i="4"/>
  <c r="B11" i="4"/>
  <c r="R33" i="4"/>
  <c r="M27" i="4"/>
  <c r="B18" i="4"/>
  <c r="Q34" i="4"/>
  <c r="R28" i="4"/>
  <c r="F20" i="4"/>
  <c r="O35" i="4"/>
  <c r="B30" i="4"/>
  <c r="F22" i="4"/>
  <c r="V35" i="4"/>
  <c r="C26" i="4"/>
  <c r="S33" i="4"/>
  <c r="I22" i="4"/>
  <c r="I35" i="4"/>
  <c r="P29" i="4"/>
  <c r="B21" i="4"/>
  <c r="D20" i="4"/>
  <c r="F34" i="4"/>
  <c r="G28" i="4"/>
  <c r="E19" i="4"/>
  <c r="D35" i="4"/>
  <c r="K29" i="4"/>
  <c r="G21" i="4"/>
  <c r="AA35" i="4"/>
  <c r="N30" i="4"/>
  <c r="E23" i="4"/>
  <c r="R35" i="4"/>
  <c r="B16" i="4"/>
  <c r="C29" i="4"/>
  <c r="C35" i="4"/>
  <c r="I34" i="4"/>
  <c r="AA36" i="4"/>
  <c r="Z35" i="4"/>
  <c r="B12" i="4"/>
  <c r="J23" i="4"/>
  <c r="G37" i="4"/>
  <c r="B19" i="4"/>
  <c r="K36" i="4"/>
  <c r="L35" i="4"/>
  <c r="H31" i="4"/>
  <c r="O27" i="4"/>
  <c r="Q29" i="4"/>
  <c r="R26" i="4"/>
  <c r="C21" i="4"/>
  <c r="W35" i="4"/>
  <c r="N22" i="4"/>
  <c r="L31" i="4"/>
  <c r="J24" i="4"/>
  <c r="B33" i="4"/>
  <c r="N26" i="4"/>
  <c r="B28" i="4"/>
  <c r="X34" i="4"/>
  <c r="F35" i="4"/>
  <c r="R34" i="4"/>
  <c r="F16" i="4"/>
  <c r="F17" i="4"/>
  <c r="K35" i="4"/>
  <c r="K34" i="4"/>
  <c r="R32" i="4"/>
  <c r="Y36" i="4"/>
  <c r="V33" i="4"/>
  <c r="H27" i="4"/>
</calcChain>
</file>

<file path=xl/comments1.xml><?xml version="1.0" encoding="utf-8"?>
<comments xmlns="http://schemas.openxmlformats.org/spreadsheetml/2006/main">
  <authors>
    <author xml:space="preserve"> Chris Albright</author>
    <author>Chris Albright</author>
  </authors>
  <commentList>
    <comment ref="A3" authorId="0" shapeId="0">
      <text>
        <r>
          <rPr>
            <b/>
            <sz val="8"/>
            <color indexed="81"/>
            <rFont val="Tahoma"/>
            <family val="2"/>
          </rPr>
          <t>Asterisks next to playoff teams</t>
        </r>
        <r>
          <rPr>
            <sz val="8"/>
            <color indexed="81"/>
            <rFont val="Tahoma"/>
            <family val="2"/>
          </rPr>
          <t xml:space="preserve">
</t>
        </r>
      </text>
    </comment>
    <comment ref="F3" authorId="1" shapeId="0">
      <text>
        <r>
          <rPr>
            <b/>
            <sz val="8"/>
            <color indexed="81"/>
            <rFont val="Tahoma"/>
            <family val="2"/>
          </rPr>
          <t>Team rating relative to average (0.0), found from SRS (simple rating system)</t>
        </r>
        <r>
          <rPr>
            <sz val="8"/>
            <color indexed="81"/>
            <rFont val="Tahoma"/>
            <family val="2"/>
          </rPr>
          <t xml:space="preserve">
</t>
        </r>
        <r>
          <rPr>
            <b/>
            <sz val="8"/>
            <color indexed="81"/>
            <rFont val="Tahoma"/>
            <family val="2"/>
          </rPr>
          <t>SRS is the team's average margin of victory plus the average SRS of the teams it plays. This can be found by solving 29 equations in 29 unknowns (one SRS per team).</t>
        </r>
      </text>
    </comment>
    <comment ref="G3" authorId="0" shapeId="0">
      <text>
        <r>
          <rPr>
            <b/>
            <sz val="8"/>
            <color indexed="81"/>
            <rFont val="Tahoma"/>
            <family val="2"/>
          </rPr>
          <t>Field goals made</t>
        </r>
        <r>
          <rPr>
            <sz val="8"/>
            <color indexed="81"/>
            <rFont val="Tahoma"/>
            <family val="2"/>
          </rPr>
          <t xml:space="preserve">
</t>
        </r>
      </text>
    </comment>
    <comment ref="H3" authorId="0" shapeId="0">
      <text>
        <r>
          <rPr>
            <b/>
            <sz val="8"/>
            <color indexed="81"/>
            <rFont val="Tahoma"/>
            <family val="2"/>
          </rPr>
          <t>Field goals attempted</t>
        </r>
        <r>
          <rPr>
            <sz val="8"/>
            <color indexed="81"/>
            <rFont val="Tahoma"/>
            <family val="2"/>
          </rPr>
          <t xml:space="preserve">
</t>
        </r>
      </text>
    </comment>
    <comment ref="I3" authorId="0" shapeId="0">
      <text>
        <r>
          <rPr>
            <b/>
            <sz val="8"/>
            <color indexed="81"/>
            <rFont val="Tahoma"/>
            <family val="2"/>
          </rPr>
          <t>3-point shots made</t>
        </r>
        <r>
          <rPr>
            <sz val="8"/>
            <color indexed="81"/>
            <rFont val="Tahoma"/>
            <family val="2"/>
          </rPr>
          <t xml:space="preserve">
</t>
        </r>
      </text>
    </comment>
    <comment ref="J3" authorId="0" shapeId="0">
      <text>
        <r>
          <rPr>
            <b/>
            <sz val="8"/>
            <color indexed="81"/>
            <rFont val="Tahoma"/>
            <family val="2"/>
          </rPr>
          <t>3-point shots attempted</t>
        </r>
        <r>
          <rPr>
            <sz val="8"/>
            <color indexed="81"/>
            <rFont val="Tahoma"/>
            <family val="2"/>
          </rPr>
          <t xml:space="preserve">
</t>
        </r>
      </text>
    </comment>
    <comment ref="K3" authorId="0" shapeId="0">
      <text>
        <r>
          <rPr>
            <b/>
            <sz val="8"/>
            <color indexed="81"/>
            <rFont val="Tahoma"/>
            <family val="2"/>
          </rPr>
          <t>Free throws made</t>
        </r>
        <r>
          <rPr>
            <sz val="8"/>
            <color indexed="81"/>
            <rFont val="Tahoma"/>
            <family val="2"/>
          </rPr>
          <t xml:space="preserve">
</t>
        </r>
      </text>
    </comment>
    <comment ref="L3" authorId="0" shapeId="0">
      <text>
        <r>
          <rPr>
            <b/>
            <sz val="8"/>
            <color indexed="81"/>
            <rFont val="Tahoma"/>
            <family val="2"/>
          </rPr>
          <t>Free throws attempted</t>
        </r>
        <r>
          <rPr>
            <sz val="8"/>
            <color indexed="81"/>
            <rFont val="Tahoma"/>
            <family val="2"/>
          </rPr>
          <t xml:space="preserve">
</t>
        </r>
      </text>
    </comment>
    <comment ref="M3" authorId="0" shapeId="0">
      <text>
        <r>
          <rPr>
            <b/>
            <sz val="8"/>
            <color indexed="81"/>
            <rFont val="Tahoma"/>
            <family val="2"/>
          </rPr>
          <t>Offensive rebounds</t>
        </r>
        <r>
          <rPr>
            <sz val="8"/>
            <color indexed="81"/>
            <rFont val="Tahoma"/>
            <family val="2"/>
          </rPr>
          <t xml:space="preserve">
</t>
        </r>
      </text>
    </comment>
    <comment ref="N3" authorId="0" shapeId="0">
      <text>
        <r>
          <rPr>
            <b/>
            <sz val="8"/>
            <color indexed="81"/>
            <rFont val="Tahoma"/>
            <family val="2"/>
          </rPr>
          <t>Defensive rebounds</t>
        </r>
        <r>
          <rPr>
            <sz val="8"/>
            <color indexed="81"/>
            <rFont val="Tahoma"/>
            <family val="2"/>
          </rPr>
          <t xml:space="preserve">
</t>
        </r>
      </text>
    </comment>
    <comment ref="O3" authorId="0" shapeId="0">
      <text>
        <r>
          <rPr>
            <b/>
            <sz val="8"/>
            <color indexed="81"/>
            <rFont val="Tahoma"/>
            <family val="2"/>
          </rPr>
          <t>Assists</t>
        </r>
        <r>
          <rPr>
            <sz val="8"/>
            <color indexed="81"/>
            <rFont val="Tahoma"/>
            <family val="2"/>
          </rPr>
          <t xml:space="preserve">
</t>
        </r>
      </text>
    </comment>
    <comment ref="P3" authorId="0" shapeId="0">
      <text>
        <r>
          <rPr>
            <b/>
            <sz val="8"/>
            <color indexed="81"/>
            <rFont val="Tahoma"/>
            <family val="2"/>
          </rPr>
          <t>Steals</t>
        </r>
        <r>
          <rPr>
            <sz val="8"/>
            <color indexed="81"/>
            <rFont val="Tahoma"/>
            <family val="2"/>
          </rPr>
          <t xml:space="preserve">
</t>
        </r>
      </text>
    </comment>
    <comment ref="Q3" authorId="0" shapeId="0">
      <text>
        <r>
          <rPr>
            <b/>
            <sz val="8"/>
            <color indexed="81"/>
            <rFont val="Tahoma"/>
            <family val="2"/>
          </rPr>
          <t>Blocked shots</t>
        </r>
      </text>
    </comment>
    <comment ref="R3" authorId="0" shapeId="0">
      <text>
        <r>
          <rPr>
            <b/>
            <sz val="8"/>
            <color indexed="81"/>
            <rFont val="Tahoma"/>
            <family val="2"/>
          </rPr>
          <t>Turnovers</t>
        </r>
        <r>
          <rPr>
            <sz val="8"/>
            <color indexed="81"/>
            <rFont val="Tahoma"/>
            <family val="2"/>
          </rPr>
          <t xml:space="preserve">
</t>
        </r>
      </text>
    </comment>
    <comment ref="S3" authorId="0" shapeId="0">
      <text>
        <r>
          <rPr>
            <b/>
            <sz val="8"/>
            <color indexed="81"/>
            <rFont val="Tahoma"/>
            <family val="2"/>
          </rPr>
          <t>Personal fouls</t>
        </r>
        <r>
          <rPr>
            <sz val="8"/>
            <color indexed="81"/>
            <rFont val="Tahoma"/>
            <family val="2"/>
          </rPr>
          <t xml:space="preserve">
</t>
        </r>
      </text>
    </comment>
    <comment ref="T3" authorId="0" shapeId="0">
      <text>
        <r>
          <rPr>
            <b/>
            <sz val="8"/>
            <color indexed="81"/>
            <rFont val="Tahoma"/>
            <family val="2"/>
          </rPr>
          <t>Points scored total</t>
        </r>
        <r>
          <rPr>
            <sz val="8"/>
            <color indexed="81"/>
            <rFont val="Tahoma"/>
            <family val="2"/>
          </rPr>
          <t xml:space="preserve">
</t>
        </r>
      </text>
    </comment>
    <comment ref="E16" authorId="1" shapeId="0">
      <text>
        <r>
          <rPr>
            <b/>
            <sz val="8"/>
            <color indexed="81"/>
            <rFont val="Tahoma"/>
            <family val="2"/>
          </rPr>
          <t>Won in Finals</t>
        </r>
        <r>
          <rPr>
            <sz val="8"/>
            <color indexed="81"/>
            <rFont val="Tahoma"/>
            <family val="2"/>
          </rPr>
          <t xml:space="preserve">
</t>
        </r>
      </text>
    </comment>
    <comment ref="E25" authorId="1" shapeId="0">
      <text>
        <r>
          <rPr>
            <b/>
            <sz val="8"/>
            <color indexed="81"/>
            <rFont val="Tahoma"/>
            <family val="2"/>
          </rPr>
          <t>Lost in Finals</t>
        </r>
        <r>
          <rPr>
            <sz val="8"/>
            <color indexed="81"/>
            <rFont val="Tahoma"/>
            <family val="2"/>
          </rPr>
          <t xml:space="preserve">
</t>
        </r>
      </text>
    </comment>
    <comment ref="E35" authorId="1" shapeId="0">
      <text>
        <r>
          <rPr>
            <b/>
            <sz val="8"/>
            <color indexed="81"/>
            <rFont val="Tahoma"/>
            <family val="2"/>
          </rPr>
          <t>Won in Finals</t>
        </r>
        <r>
          <rPr>
            <sz val="8"/>
            <color indexed="81"/>
            <rFont val="Tahoma"/>
            <family val="2"/>
          </rPr>
          <t xml:space="preserve">
</t>
        </r>
      </text>
    </comment>
    <comment ref="E46" authorId="1" shapeId="0">
      <text>
        <r>
          <rPr>
            <b/>
            <sz val="8"/>
            <color indexed="81"/>
            <rFont val="Tahoma"/>
            <family val="2"/>
          </rPr>
          <t>Lost in Finals</t>
        </r>
        <r>
          <rPr>
            <sz val="8"/>
            <color indexed="81"/>
            <rFont val="Tahoma"/>
            <family val="2"/>
          </rPr>
          <t xml:space="preserve">
</t>
        </r>
      </text>
    </comment>
    <comment ref="E68" authorId="1" shapeId="0">
      <text>
        <r>
          <rPr>
            <b/>
            <sz val="8"/>
            <color indexed="81"/>
            <rFont val="Tahoma"/>
            <family val="2"/>
          </rPr>
          <t>Lost in Finals</t>
        </r>
        <r>
          <rPr>
            <sz val="8"/>
            <color indexed="81"/>
            <rFont val="Tahoma"/>
            <family val="2"/>
          </rPr>
          <t xml:space="preserve">
</t>
        </r>
      </text>
    </comment>
    <comment ref="E89" authorId="1" shapeId="0">
      <text>
        <r>
          <rPr>
            <b/>
            <sz val="8"/>
            <color indexed="81"/>
            <rFont val="Tahoma"/>
            <family val="2"/>
          </rPr>
          <t>Won in Finals</t>
        </r>
        <r>
          <rPr>
            <sz val="8"/>
            <color indexed="81"/>
            <rFont val="Tahoma"/>
            <family val="2"/>
          </rPr>
          <t xml:space="preserve">
</t>
        </r>
      </text>
    </comment>
    <comment ref="E99" authorId="1" shapeId="0">
      <text>
        <r>
          <rPr>
            <b/>
            <sz val="8"/>
            <color indexed="81"/>
            <rFont val="Tahoma"/>
            <family val="2"/>
          </rPr>
          <t>Lost in Finals</t>
        </r>
        <r>
          <rPr>
            <sz val="8"/>
            <color indexed="81"/>
            <rFont val="Tahoma"/>
            <family val="2"/>
          </rPr>
          <t xml:space="preserve">
</t>
        </r>
      </text>
    </comment>
    <comment ref="E108" authorId="1" shapeId="0">
      <text>
        <r>
          <rPr>
            <b/>
            <sz val="8"/>
            <color indexed="81"/>
            <rFont val="Tahoma"/>
            <family val="2"/>
          </rPr>
          <t>Won in Finals</t>
        </r>
        <r>
          <rPr>
            <sz val="8"/>
            <color indexed="81"/>
            <rFont val="Tahoma"/>
            <family val="2"/>
          </rPr>
          <t xml:space="preserve">
</t>
        </r>
      </text>
    </comment>
    <comment ref="E131" authorId="1" shapeId="0">
      <text>
        <r>
          <rPr>
            <b/>
            <sz val="8"/>
            <color indexed="81"/>
            <rFont val="Tahoma"/>
            <family val="2"/>
          </rPr>
          <t>Lost in Finals</t>
        </r>
      </text>
    </comment>
    <comment ref="E149" authorId="1" shapeId="0">
      <text>
        <r>
          <rPr>
            <b/>
            <sz val="8"/>
            <color indexed="81"/>
            <rFont val="Tahoma"/>
            <family val="2"/>
          </rPr>
          <t>Won in Finals</t>
        </r>
        <r>
          <rPr>
            <sz val="8"/>
            <color indexed="81"/>
            <rFont val="Tahoma"/>
            <family val="2"/>
          </rPr>
          <t xml:space="preserve">
</t>
        </r>
      </text>
    </comment>
  </commentList>
</comments>
</file>

<file path=xl/comments2.xml><?xml version="1.0" encoding="utf-8"?>
<comments xmlns="http://schemas.openxmlformats.org/spreadsheetml/2006/main">
  <authors>
    <author xml:space="preserve"> Chris Albright</author>
    <author>Chris Albright</author>
  </authors>
  <commentList>
    <comment ref="A3" authorId="0" shapeId="0">
      <text>
        <r>
          <rPr>
            <b/>
            <sz val="8"/>
            <color indexed="81"/>
            <rFont val="Tahoma"/>
            <family val="2"/>
          </rPr>
          <t>Asterisks next to playoff teams</t>
        </r>
        <r>
          <rPr>
            <sz val="8"/>
            <color indexed="81"/>
            <rFont val="Tahoma"/>
            <family val="2"/>
          </rPr>
          <t xml:space="preserve">
</t>
        </r>
      </text>
    </comment>
    <comment ref="F3" authorId="1" shapeId="0">
      <text>
        <r>
          <rPr>
            <b/>
            <sz val="8"/>
            <color indexed="81"/>
            <rFont val="Tahoma"/>
            <family val="2"/>
          </rPr>
          <t>Team rating relative to average (0.0), found from SRS (simple rating system)</t>
        </r>
        <r>
          <rPr>
            <sz val="8"/>
            <color indexed="81"/>
            <rFont val="Tahoma"/>
            <family val="2"/>
          </rPr>
          <t xml:space="preserve">
</t>
        </r>
        <r>
          <rPr>
            <b/>
            <sz val="8"/>
            <color indexed="81"/>
            <rFont val="Tahoma"/>
            <family val="2"/>
          </rPr>
          <t>SRS is the team's average margin of victory plus the average SRS of the teams it plays. This can be found by solving 29 equations in 29 unknowns (one SRS per team).</t>
        </r>
      </text>
    </comment>
    <comment ref="G3" authorId="0" shapeId="0">
      <text>
        <r>
          <rPr>
            <b/>
            <sz val="8"/>
            <color indexed="81"/>
            <rFont val="Tahoma"/>
            <family val="2"/>
          </rPr>
          <t>Field goals made</t>
        </r>
        <r>
          <rPr>
            <sz val="8"/>
            <color indexed="81"/>
            <rFont val="Tahoma"/>
            <family val="2"/>
          </rPr>
          <t xml:space="preserve">
</t>
        </r>
      </text>
    </comment>
    <comment ref="H3" authorId="0" shapeId="0">
      <text>
        <r>
          <rPr>
            <b/>
            <sz val="8"/>
            <color indexed="81"/>
            <rFont val="Tahoma"/>
            <family val="2"/>
          </rPr>
          <t>Field goals attempted</t>
        </r>
        <r>
          <rPr>
            <sz val="8"/>
            <color indexed="81"/>
            <rFont val="Tahoma"/>
            <family val="2"/>
          </rPr>
          <t xml:space="preserve">
</t>
        </r>
      </text>
    </comment>
    <comment ref="I3" authorId="0" shapeId="0">
      <text>
        <r>
          <rPr>
            <b/>
            <sz val="8"/>
            <color indexed="81"/>
            <rFont val="Tahoma"/>
            <family val="2"/>
          </rPr>
          <t>3-point shots made</t>
        </r>
        <r>
          <rPr>
            <sz val="8"/>
            <color indexed="81"/>
            <rFont val="Tahoma"/>
            <family val="2"/>
          </rPr>
          <t xml:space="preserve">
</t>
        </r>
      </text>
    </comment>
    <comment ref="J3" authorId="0" shapeId="0">
      <text>
        <r>
          <rPr>
            <b/>
            <sz val="8"/>
            <color indexed="81"/>
            <rFont val="Tahoma"/>
            <family val="2"/>
          </rPr>
          <t>3-point shots attempted</t>
        </r>
        <r>
          <rPr>
            <sz val="8"/>
            <color indexed="81"/>
            <rFont val="Tahoma"/>
            <family val="2"/>
          </rPr>
          <t xml:space="preserve">
</t>
        </r>
      </text>
    </comment>
    <comment ref="K3" authorId="0" shapeId="0">
      <text>
        <r>
          <rPr>
            <b/>
            <sz val="8"/>
            <color indexed="81"/>
            <rFont val="Tahoma"/>
            <family val="2"/>
          </rPr>
          <t>Free throws made</t>
        </r>
        <r>
          <rPr>
            <sz val="8"/>
            <color indexed="81"/>
            <rFont val="Tahoma"/>
            <family val="2"/>
          </rPr>
          <t xml:space="preserve">
</t>
        </r>
      </text>
    </comment>
    <comment ref="L3" authorId="0" shapeId="0">
      <text>
        <r>
          <rPr>
            <b/>
            <sz val="8"/>
            <color indexed="81"/>
            <rFont val="Tahoma"/>
            <family val="2"/>
          </rPr>
          <t>Free throws attempted</t>
        </r>
        <r>
          <rPr>
            <sz val="8"/>
            <color indexed="81"/>
            <rFont val="Tahoma"/>
            <family val="2"/>
          </rPr>
          <t xml:space="preserve">
</t>
        </r>
      </text>
    </comment>
    <comment ref="M3" authorId="0" shapeId="0">
      <text>
        <r>
          <rPr>
            <b/>
            <sz val="8"/>
            <color indexed="81"/>
            <rFont val="Tahoma"/>
            <family val="2"/>
          </rPr>
          <t>Offensive rebounds</t>
        </r>
        <r>
          <rPr>
            <sz val="8"/>
            <color indexed="81"/>
            <rFont val="Tahoma"/>
            <family val="2"/>
          </rPr>
          <t xml:space="preserve">
</t>
        </r>
      </text>
    </comment>
    <comment ref="N3" authorId="0" shapeId="0">
      <text>
        <r>
          <rPr>
            <b/>
            <sz val="8"/>
            <color indexed="81"/>
            <rFont val="Tahoma"/>
            <family val="2"/>
          </rPr>
          <t>Defensive rebounds</t>
        </r>
        <r>
          <rPr>
            <sz val="8"/>
            <color indexed="81"/>
            <rFont val="Tahoma"/>
            <family val="2"/>
          </rPr>
          <t xml:space="preserve">
</t>
        </r>
      </text>
    </comment>
    <comment ref="O3" authorId="0" shapeId="0">
      <text>
        <r>
          <rPr>
            <b/>
            <sz val="8"/>
            <color indexed="81"/>
            <rFont val="Tahoma"/>
            <family val="2"/>
          </rPr>
          <t>Assists</t>
        </r>
        <r>
          <rPr>
            <sz val="8"/>
            <color indexed="81"/>
            <rFont val="Tahoma"/>
            <family val="2"/>
          </rPr>
          <t xml:space="preserve">
</t>
        </r>
      </text>
    </comment>
    <comment ref="P3" authorId="0" shapeId="0">
      <text>
        <r>
          <rPr>
            <b/>
            <sz val="8"/>
            <color indexed="81"/>
            <rFont val="Tahoma"/>
            <family val="2"/>
          </rPr>
          <t>Steals</t>
        </r>
        <r>
          <rPr>
            <sz val="8"/>
            <color indexed="81"/>
            <rFont val="Tahoma"/>
            <family val="2"/>
          </rPr>
          <t xml:space="preserve">
</t>
        </r>
      </text>
    </comment>
    <comment ref="Q3" authorId="0" shapeId="0">
      <text>
        <r>
          <rPr>
            <b/>
            <sz val="8"/>
            <color indexed="81"/>
            <rFont val="Tahoma"/>
            <family val="2"/>
          </rPr>
          <t>Blocked shots</t>
        </r>
      </text>
    </comment>
    <comment ref="R3" authorId="0" shapeId="0">
      <text>
        <r>
          <rPr>
            <b/>
            <sz val="8"/>
            <color indexed="81"/>
            <rFont val="Tahoma"/>
            <family val="2"/>
          </rPr>
          <t>Turnovers</t>
        </r>
        <r>
          <rPr>
            <sz val="8"/>
            <color indexed="81"/>
            <rFont val="Tahoma"/>
            <family val="2"/>
          </rPr>
          <t xml:space="preserve">
</t>
        </r>
      </text>
    </comment>
    <comment ref="S3" authorId="0" shapeId="0">
      <text>
        <r>
          <rPr>
            <b/>
            <sz val="8"/>
            <color indexed="81"/>
            <rFont val="Tahoma"/>
            <family val="2"/>
          </rPr>
          <t>Personal fouls</t>
        </r>
        <r>
          <rPr>
            <sz val="8"/>
            <color indexed="81"/>
            <rFont val="Tahoma"/>
            <family val="2"/>
          </rPr>
          <t xml:space="preserve">
</t>
        </r>
      </text>
    </comment>
    <comment ref="T3" authorId="0" shapeId="0">
      <text>
        <r>
          <rPr>
            <b/>
            <sz val="8"/>
            <color indexed="81"/>
            <rFont val="Tahoma"/>
            <family val="2"/>
          </rPr>
          <t>Points scored total</t>
        </r>
        <r>
          <rPr>
            <sz val="8"/>
            <color indexed="81"/>
            <rFont val="Tahoma"/>
            <family val="2"/>
          </rPr>
          <t xml:space="preserve">
</t>
        </r>
      </text>
    </comment>
    <comment ref="E16" authorId="1" shapeId="0">
      <text>
        <r>
          <rPr>
            <b/>
            <sz val="8"/>
            <color indexed="81"/>
            <rFont val="Tahoma"/>
            <family val="2"/>
          </rPr>
          <t>Won in Finals</t>
        </r>
        <r>
          <rPr>
            <sz val="8"/>
            <color indexed="81"/>
            <rFont val="Tahoma"/>
            <family val="2"/>
          </rPr>
          <t xml:space="preserve">
</t>
        </r>
      </text>
    </comment>
    <comment ref="E25" authorId="1" shapeId="0">
      <text>
        <r>
          <rPr>
            <b/>
            <sz val="8"/>
            <color indexed="81"/>
            <rFont val="Tahoma"/>
            <family val="2"/>
          </rPr>
          <t>Lost in Finals</t>
        </r>
        <r>
          <rPr>
            <sz val="8"/>
            <color indexed="81"/>
            <rFont val="Tahoma"/>
            <family val="2"/>
          </rPr>
          <t xml:space="preserve">
</t>
        </r>
      </text>
    </comment>
    <comment ref="E35" authorId="1" shapeId="0">
      <text>
        <r>
          <rPr>
            <b/>
            <sz val="8"/>
            <color indexed="81"/>
            <rFont val="Tahoma"/>
            <family val="2"/>
          </rPr>
          <t>Won in Finals</t>
        </r>
        <r>
          <rPr>
            <sz val="8"/>
            <color indexed="81"/>
            <rFont val="Tahoma"/>
            <family val="2"/>
          </rPr>
          <t xml:space="preserve">
</t>
        </r>
      </text>
    </comment>
    <comment ref="E46" authorId="1" shapeId="0">
      <text>
        <r>
          <rPr>
            <b/>
            <sz val="8"/>
            <color indexed="81"/>
            <rFont val="Tahoma"/>
            <family val="2"/>
          </rPr>
          <t>Lost in Finals</t>
        </r>
        <r>
          <rPr>
            <sz val="8"/>
            <color indexed="81"/>
            <rFont val="Tahoma"/>
            <family val="2"/>
          </rPr>
          <t xml:space="preserve">
</t>
        </r>
      </text>
    </comment>
    <comment ref="E68" authorId="1" shapeId="0">
      <text>
        <r>
          <rPr>
            <b/>
            <sz val="8"/>
            <color indexed="81"/>
            <rFont val="Tahoma"/>
            <family val="2"/>
          </rPr>
          <t>Lost in Finals</t>
        </r>
        <r>
          <rPr>
            <sz val="8"/>
            <color indexed="81"/>
            <rFont val="Tahoma"/>
            <family val="2"/>
          </rPr>
          <t xml:space="preserve">
</t>
        </r>
      </text>
    </comment>
    <comment ref="E89" authorId="1" shapeId="0">
      <text>
        <r>
          <rPr>
            <b/>
            <sz val="8"/>
            <color indexed="81"/>
            <rFont val="Tahoma"/>
            <family val="2"/>
          </rPr>
          <t>Won in Finals</t>
        </r>
        <r>
          <rPr>
            <sz val="8"/>
            <color indexed="81"/>
            <rFont val="Tahoma"/>
            <family val="2"/>
          </rPr>
          <t xml:space="preserve">
</t>
        </r>
      </text>
    </comment>
    <comment ref="E99" authorId="1" shapeId="0">
      <text>
        <r>
          <rPr>
            <b/>
            <sz val="8"/>
            <color indexed="81"/>
            <rFont val="Tahoma"/>
            <family val="2"/>
          </rPr>
          <t>Lost in Finals</t>
        </r>
        <r>
          <rPr>
            <sz val="8"/>
            <color indexed="81"/>
            <rFont val="Tahoma"/>
            <family val="2"/>
          </rPr>
          <t xml:space="preserve">
</t>
        </r>
      </text>
    </comment>
    <comment ref="E108" authorId="1" shapeId="0">
      <text>
        <r>
          <rPr>
            <b/>
            <sz val="8"/>
            <color indexed="81"/>
            <rFont val="Tahoma"/>
            <family val="2"/>
          </rPr>
          <t>Won in Finals</t>
        </r>
        <r>
          <rPr>
            <sz val="8"/>
            <color indexed="81"/>
            <rFont val="Tahoma"/>
            <family val="2"/>
          </rPr>
          <t xml:space="preserve">
</t>
        </r>
      </text>
    </comment>
    <comment ref="E131" authorId="1" shapeId="0">
      <text>
        <r>
          <rPr>
            <b/>
            <sz val="8"/>
            <color indexed="81"/>
            <rFont val="Tahoma"/>
            <family val="2"/>
          </rPr>
          <t>Lost in Finals</t>
        </r>
      </text>
    </comment>
    <comment ref="E149" authorId="1" shapeId="0">
      <text>
        <r>
          <rPr>
            <b/>
            <sz val="8"/>
            <color indexed="81"/>
            <rFont val="Tahoma"/>
            <family val="2"/>
          </rPr>
          <t>Won in Finals</t>
        </r>
        <r>
          <rPr>
            <sz val="8"/>
            <color indexed="81"/>
            <rFont val="Tahoma"/>
            <family val="2"/>
          </rPr>
          <t xml:space="preserve">
</t>
        </r>
      </text>
    </comment>
  </commentList>
</comments>
</file>

<file path=xl/connections.xml><?xml version="1.0" encoding="utf-8"?>
<connections xmlns="http://schemas.openxmlformats.org/spreadsheetml/2006/main">
  <connection id="1" name="Connection" type="4" refreshedVersion="0" deleted="1" background="1" saveData="1">
    <webPr sourceData="1" parsePre="1" consecutive="1" htmlTables="1"/>
  </connection>
</connections>
</file>

<file path=xl/sharedStrings.xml><?xml version="1.0" encoding="utf-8"?>
<sst xmlns="http://schemas.openxmlformats.org/spreadsheetml/2006/main" count="1307" uniqueCount="316">
  <si>
    <t>SRS</t>
  </si>
  <si>
    <t>Team</t>
  </si>
  <si>
    <t>FG</t>
  </si>
  <si>
    <t>FGA</t>
  </si>
  <si>
    <t>3P</t>
  </si>
  <si>
    <t>3PA</t>
  </si>
  <si>
    <t>FT</t>
  </si>
  <si>
    <t>FTA</t>
  </si>
  <si>
    <t>ORB</t>
  </si>
  <si>
    <t>DRB</t>
  </si>
  <si>
    <t>AST</t>
  </si>
  <si>
    <t>STL</t>
  </si>
  <si>
    <t>BLK</t>
  </si>
  <si>
    <t>TOV</t>
  </si>
  <si>
    <t>PF</t>
  </si>
  <si>
    <t>PTS</t>
  </si>
  <si>
    <t>Phoenix Suns</t>
  </si>
  <si>
    <t>Golden State Warriors</t>
  </si>
  <si>
    <t>New York Knickerbockers</t>
  </si>
  <si>
    <t>Indiana Pacers</t>
  </si>
  <si>
    <t>Sacramento Kings</t>
  </si>
  <si>
    <t>Milwaukee Bucks</t>
  </si>
  <si>
    <t>Toronto Raptors</t>
  </si>
  <si>
    <t>New Jersey Nets</t>
  </si>
  <si>
    <t>Minnesota Timberwolves</t>
  </si>
  <si>
    <t>Oklahoma City Thunder</t>
  </si>
  <si>
    <t>Washington Wizards</t>
  </si>
  <si>
    <t>Los Angeles Clippers</t>
  </si>
  <si>
    <t>Memphis Grizzlies</t>
  </si>
  <si>
    <t>Charlotte Bobcats</t>
  </si>
  <si>
    <t>Wins</t>
  </si>
  <si>
    <t>Losses</t>
  </si>
  <si>
    <t>O_FG</t>
  </si>
  <si>
    <t>O_FGA</t>
  </si>
  <si>
    <t>O_3P</t>
  </si>
  <si>
    <t>O_3PA</t>
  </si>
  <si>
    <t>O_FT</t>
  </si>
  <si>
    <t>O_FTA</t>
  </si>
  <si>
    <t>O_ORB</t>
  </si>
  <si>
    <t>O_DRB</t>
  </si>
  <si>
    <t>O_AST</t>
  </si>
  <si>
    <t>O_STL</t>
  </si>
  <si>
    <t>O_BLK</t>
  </si>
  <si>
    <t>O_TOV</t>
  </si>
  <si>
    <t>O_PF</t>
  </si>
  <si>
    <t>O_PTS</t>
  </si>
  <si>
    <t>Offensive</t>
  </si>
  <si>
    <t>Defensive (same variables but with prefix O for Opponent)</t>
  </si>
  <si>
    <t>Overall</t>
  </si>
  <si>
    <t>NBA Team Stats</t>
  </si>
  <si>
    <t>Playoff team</t>
  </si>
  <si>
    <t>Year</t>
  </si>
  <si>
    <t>2008-2009</t>
  </si>
  <si>
    <t>Chicago Bulls</t>
  </si>
  <si>
    <t>Miami Heat</t>
  </si>
  <si>
    <t>Portland Trail Blazers</t>
  </si>
  <si>
    <t>Seattle Supersonics</t>
  </si>
  <si>
    <t>2007-2008</t>
  </si>
  <si>
    <t>Yes</t>
  </si>
  <si>
    <t>No</t>
  </si>
  <si>
    <t>Atlanta Hawks</t>
  </si>
  <si>
    <t>Boston Celtics</t>
  </si>
  <si>
    <t>New Orleans/Oklahoma City Hornets</t>
  </si>
  <si>
    <t>Philadelphia 76ers</t>
  </si>
  <si>
    <t>2006-2007</t>
  </si>
  <si>
    <t>Houston Rockets</t>
  </si>
  <si>
    <t>Orlando Magic</t>
  </si>
  <si>
    <t>Utah Jazz</t>
  </si>
  <si>
    <t>2005-2006</t>
  </si>
  <si>
    <t>Cleveland Cavaliers</t>
  </si>
  <si>
    <t>Los Angeles Lakers</t>
  </si>
  <si>
    <t>New Orleans Hornets</t>
  </si>
  <si>
    <t>2004-2005</t>
  </si>
  <si>
    <t>Dallas Mavericks</t>
  </si>
  <si>
    <t>Denver Nuggets</t>
  </si>
  <si>
    <t>Detroit Pistons</t>
  </si>
  <si>
    <t>San Antonio Spurs</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</si>
  <si>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</si>
  <si>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</si>
  <si>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</si>
  <si>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</si>
  <si>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</si>
  <si>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</si>
  <si>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</si>
  <si>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</si>
  <si>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</si>
  <si>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</si>
  <si>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</si>
  <si>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</si>
  <si>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DG11E4ABC5</t>
  </si>
  <si>
    <t>Format Range</t>
  </si>
  <si>
    <t>Variable Layout</t>
  </si>
  <si>
    <t>Columns</t>
  </si>
  <si>
    <t>Variable Names In Cells</t>
  </si>
  <si>
    <t>Variable Names In 2nd Cells</t>
  </si>
  <si>
    <t>Data Set Ranges</t>
  </si>
  <si>
    <t>Data Sheet Format</t>
  </si>
  <si>
    <t>Formula Eval Cell</t>
  </si>
  <si>
    <t>Num Stored Vars</t>
  </si>
  <si>
    <t>1 : Info</t>
  </si>
  <si>
    <t>VGDA78C5DAA6ABE6</t>
  </si>
  <si>
    <t>var1</t>
  </si>
  <si>
    <t>ST_Team</t>
  </si>
  <si>
    <t>1 : Ranges</t>
  </si>
  <si>
    <t>1 : MultiRefs</t>
  </si>
  <si>
    <t>2 : Info</t>
  </si>
  <si>
    <t>VG37D92B6190E49E8</t>
  </si>
  <si>
    <t>var2</t>
  </si>
  <si>
    <t>ST_Year</t>
  </si>
  <si>
    <t>2 : Ranges</t>
  </si>
  <si>
    <t>2 : MultiRefs</t>
  </si>
  <si>
    <t>3 : Info</t>
  </si>
  <si>
    <t>VG2DCA63D06B0EA7B</t>
  </si>
  <si>
    <t>var3</t>
  </si>
  <si>
    <t>ST_Wins</t>
  </si>
  <si>
    <t>3 : Ranges</t>
  </si>
  <si>
    <t>3 : MultiRefs</t>
  </si>
  <si>
    <t>4 : Info</t>
  </si>
  <si>
    <t>VG32F32CAA1D42556D</t>
  </si>
  <si>
    <t>var4</t>
  </si>
  <si>
    <t>ST_Losses</t>
  </si>
  <si>
    <t>4 : Ranges</t>
  </si>
  <si>
    <t>4 : MultiRefs</t>
  </si>
  <si>
    <t>5 : Info</t>
  </si>
  <si>
    <t>VG1991ED942D7B30B0</t>
  </si>
  <si>
    <t>var5</t>
  </si>
  <si>
    <t>ST_Playoffteam</t>
  </si>
  <si>
    <t>5 : Ranges</t>
  </si>
  <si>
    <t>5 : MultiRefs</t>
  </si>
  <si>
    <t>6 : Info</t>
  </si>
  <si>
    <t>VGF18620A1D62E3D5</t>
  </si>
  <si>
    <t>var6</t>
  </si>
  <si>
    <t>ST_SRS</t>
  </si>
  <si>
    <t>6 : Ranges</t>
  </si>
  <si>
    <t>6 : MultiRefs</t>
  </si>
  <si>
    <t>7 : Info</t>
  </si>
  <si>
    <t>VG4C5AD4C536053C</t>
  </si>
  <si>
    <t>var7</t>
  </si>
  <si>
    <t>ST_FG</t>
  </si>
  <si>
    <t>7 : Ranges</t>
  </si>
  <si>
    <t>7 : MultiRefs</t>
  </si>
  <si>
    <t>8 : Info</t>
  </si>
  <si>
    <t>VG2990D5CE97A3ED1</t>
  </si>
  <si>
    <t>var8</t>
  </si>
  <si>
    <t>ST_FGA</t>
  </si>
  <si>
    <t>8 : Ranges</t>
  </si>
  <si>
    <t>8 : MultiRefs</t>
  </si>
  <si>
    <t>9 : Info</t>
  </si>
  <si>
    <t>VG1419C0022FB74A9D</t>
  </si>
  <si>
    <t>var9</t>
  </si>
  <si>
    <t>ST_3P</t>
  </si>
  <si>
    <t>9 : Ranges</t>
  </si>
  <si>
    <t>9 : MultiRefs</t>
  </si>
  <si>
    <t>10 : Info</t>
  </si>
  <si>
    <t>VG151BFB9D2FDC60C</t>
  </si>
  <si>
    <t>var10</t>
  </si>
  <si>
    <t>ST_3PA</t>
  </si>
  <si>
    <t>10 : Ranges</t>
  </si>
  <si>
    <t>10 : MultiRefs</t>
  </si>
  <si>
    <t>11 : Info</t>
  </si>
  <si>
    <t>VG139BCAD44BC671F</t>
  </si>
  <si>
    <t>var11</t>
  </si>
  <si>
    <t>ST_FT</t>
  </si>
  <si>
    <t>11 : Ranges</t>
  </si>
  <si>
    <t>11 : MultiRefs</t>
  </si>
  <si>
    <t>12 : Info</t>
  </si>
  <si>
    <t>VG4BAFB334C1EF75</t>
  </si>
  <si>
    <t>var12</t>
  </si>
  <si>
    <t>ST_FTA</t>
  </si>
  <si>
    <t>12 : Ranges</t>
  </si>
  <si>
    <t>12 : MultiRefs</t>
  </si>
  <si>
    <t>13 : Info</t>
  </si>
  <si>
    <t>VG2A71C4151EC5B165</t>
  </si>
  <si>
    <t>var13</t>
  </si>
  <si>
    <t>ST_ORB</t>
  </si>
  <si>
    <t>13 : Ranges</t>
  </si>
  <si>
    <t>13 : MultiRefs</t>
  </si>
  <si>
    <t>14 : Info</t>
  </si>
  <si>
    <t>VGB159D487049C06</t>
  </si>
  <si>
    <t>var14</t>
  </si>
  <si>
    <t>ST_DRB</t>
  </si>
  <si>
    <t>14 : Ranges</t>
  </si>
  <si>
    <t>14 : MultiRefs</t>
  </si>
  <si>
    <t>15 : Info</t>
  </si>
  <si>
    <t>VG37DEB2FA1325FD70</t>
  </si>
  <si>
    <t>var15</t>
  </si>
  <si>
    <t>ST_AST</t>
  </si>
  <si>
    <t>15 : Ranges</t>
  </si>
  <si>
    <t>15 : MultiRefs</t>
  </si>
  <si>
    <t>16 : Info</t>
  </si>
  <si>
    <t>VG2280EB762D9F9709</t>
  </si>
  <si>
    <t>var16</t>
  </si>
  <si>
    <t>ST_STL</t>
  </si>
  <si>
    <t>16 : Ranges</t>
  </si>
  <si>
    <t>16 : MultiRefs</t>
  </si>
  <si>
    <t>17 : Info</t>
  </si>
  <si>
    <t>VG2D9949C12E404628</t>
  </si>
  <si>
    <t>var17</t>
  </si>
  <si>
    <t>ST_BLK</t>
  </si>
  <si>
    <t>17 : Ranges</t>
  </si>
  <si>
    <t>17 : MultiRefs</t>
  </si>
  <si>
    <t>18 : Info</t>
  </si>
  <si>
    <t>VG26D566A81D09FFE6</t>
  </si>
  <si>
    <t>var18</t>
  </si>
  <si>
    <t>ST_TOV</t>
  </si>
  <si>
    <t>18 : Ranges</t>
  </si>
  <si>
    <t>18 : MultiRefs</t>
  </si>
  <si>
    <t>19 : Info</t>
  </si>
  <si>
    <t>VG1D39E5737CFC764</t>
  </si>
  <si>
    <t>var19</t>
  </si>
  <si>
    <t>ST_PF</t>
  </si>
  <si>
    <t>19 : Ranges</t>
  </si>
  <si>
    <t>19 : MultiRefs</t>
  </si>
  <si>
    <t>20 : Info</t>
  </si>
  <si>
    <t>VG20B15C7A36582E63</t>
  </si>
  <si>
    <t>var20</t>
  </si>
  <si>
    <t>ST_PTS</t>
  </si>
  <si>
    <t>20 : Ranges</t>
  </si>
  <si>
    <t>20 : MultiRefs</t>
  </si>
  <si>
    <t>21 : Info</t>
  </si>
  <si>
    <t>VG275F298422ED1A6F</t>
  </si>
  <si>
    <t>var21</t>
  </si>
  <si>
    <t>ST_OFG</t>
  </si>
  <si>
    <t>21 : Ranges</t>
  </si>
  <si>
    <t>21 : MultiRefs</t>
  </si>
  <si>
    <t>22 : Info</t>
  </si>
  <si>
    <t>VGDD09626CDADF75</t>
  </si>
  <si>
    <t>var22</t>
  </si>
  <si>
    <t>ST_OFGA</t>
  </si>
  <si>
    <t>22 : Ranges</t>
  </si>
  <si>
    <t>22 : MultiRefs</t>
  </si>
  <si>
    <t>23 : Info</t>
  </si>
  <si>
    <t>VG37E1288D1A29A716</t>
  </si>
  <si>
    <t>var23</t>
  </si>
  <si>
    <t>ST_O3P</t>
  </si>
  <si>
    <t>23 : Ranges</t>
  </si>
  <si>
    <t>23 : MultiRefs</t>
  </si>
  <si>
    <t>24 : Info</t>
  </si>
  <si>
    <t>VG33EF996A38B6EA81</t>
  </si>
  <si>
    <t>var24</t>
  </si>
  <si>
    <t>ST_O3PA</t>
  </si>
  <si>
    <t>24 : Ranges</t>
  </si>
  <si>
    <t>24 : MultiRefs</t>
  </si>
  <si>
    <t>25 : Info</t>
  </si>
  <si>
    <t>VGF99563235C332A</t>
  </si>
  <si>
    <t>var25</t>
  </si>
  <si>
    <t>ST_OFT</t>
  </si>
  <si>
    <t>25 : Ranges</t>
  </si>
  <si>
    <t>25 : MultiRefs</t>
  </si>
  <si>
    <t>26 : Info</t>
  </si>
  <si>
    <t>VG1CF4DFF17817527</t>
  </si>
  <si>
    <t>var26</t>
  </si>
  <si>
    <t>ST_OFTA</t>
  </si>
  <si>
    <t>26 : Ranges</t>
  </si>
  <si>
    <t>26 : MultiRefs</t>
  </si>
  <si>
    <t>27 : Info</t>
  </si>
  <si>
    <t>VG291B3D44DEEEE8B</t>
  </si>
  <si>
    <t>var27</t>
  </si>
  <si>
    <t>ST_OORB</t>
  </si>
  <si>
    <t>27 : Ranges</t>
  </si>
  <si>
    <t>27 : MultiRefs</t>
  </si>
  <si>
    <t>28 : Info</t>
  </si>
  <si>
    <t>VG31A76F391F756B89</t>
  </si>
  <si>
    <t>var28</t>
  </si>
  <si>
    <t>ST_ODRB</t>
  </si>
  <si>
    <t>28 : Ranges</t>
  </si>
  <si>
    <t>28 : MultiRefs</t>
  </si>
  <si>
    <t>29 : Info</t>
  </si>
  <si>
    <t>VG180911EB22E48FB0</t>
  </si>
  <si>
    <t>var29</t>
  </si>
  <si>
    <t>ST_OAST</t>
  </si>
  <si>
    <t>29 : Ranges</t>
  </si>
  <si>
    <t>29 : MultiRefs</t>
  </si>
  <si>
    <t>30 : Info</t>
  </si>
  <si>
    <t>VG20D516FF12424F15</t>
  </si>
  <si>
    <t>var30</t>
  </si>
  <si>
    <t>ST_OSTL</t>
  </si>
  <si>
    <t>30 : Ranges</t>
  </si>
  <si>
    <t>30 : MultiRefs</t>
  </si>
  <si>
    <t>31 : Info</t>
  </si>
  <si>
    <t>VG1F1C612F6EDD2AF</t>
  </si>
  <si>
    <t>var31</t>
  </si>
  <si>
    <t>ST_OBLK</t>
  </si>
  <si>
    <t>31 : Ranges</t>
  </si>
  <si>
    <t>31 : MultiRefs</t>
  </si>
  <si>
    <t>32 : Info</t>
  </si>
  <si>
    <t>VG20A0DA232FA3EBCA</t>
  </si>
  <si>
    <t>var32</t>
  </si>
  <si>
    <t>ST_OTOV</t>
  </si>
  <si>
    <t>32 : Ranges</t>
  </si>
  <si>
    <t>32 : MultiRefs</t>
  </si>
  <si>
    <t>33 : Info</t>
  </si>
  <si>
    <t>VG325FE9323B0C58C3</t>
  </si>
  <si>
    <t>var33</t>
  </si>
  <si>
    <t>ST_OPF</t>
  </si>
  <si>
    <t>33 : Ranges</t>
  </si>
  <si>
    <t>33 : MultiRefs</t>
  </si>
  <si>
    <t>34 : Info</t>
  </si>
  <si>
    <t>VG2646F0112469B401</t>
  </si>
  <si>
    <t>var34</t>
  </si>
  <si>
    <t>ST_OPTS</t>
  </si>
  <si>
    <t>34 : Ranges</t>
  </si>
  <si>
    <t>34 : MultiRefs</t>
  </si>
  <si>
    <t>StatTools</t>
  </si>
  <si>
    <t>(Core Analysis Pack)</t>
  </si>
  <si>
    <t>Analysis:</t>
  </si>
  <si>
    <t>Correlation and Covariance</t>
  </si>
  <si>
    <t>Performed By:</t>
  </si>
  <si>
    <t xml:space="preserve"> Chris Albright</t>
  </si>
  <si>
    <t>Date:</t>
  </si>
  <si>
    <t>Updating:</t>
  </si>
  <si>
    <t>Live</t>
  </si>
  <si>
    <t>Correlation Table</t>
  </si>
  <si>
    <t>Count of Playoff team</t>
  </si>
  <si>
    <t>Grand Total</t>
  </si>
  <si>
    <t>Wednesday, February 08,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</si>
</sst>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1"/>
      <color theme="1"/>
      <name val="Calibri"/>
      <family val="2"/>
      <scheme val="minor"/>
    </font>
    <font>
      <sz val="8"/>
      <color indexed="81"/>
      <name val="Tahoma"/>
      <family val="2"/>
    </font>
    <font>
      <b/>
      <sz val="8"/>
      <color indexed="81"/>
      <name val="Tahoma"/>
      <family val="2"/>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14">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rgb="FF000000"/>
      </bottom>
      <diagonal/>
    </border>
    <border>
      <left/>
      <right/>
      <top/>
      <bottom style="double">
        <color rgb="FF000000"/>
      </bottom>
      <diagonal/>
    </border>
  </borders>
  <cellStyleXfs count="1">
    <xf numFmtId="0" fontId="0" fillId="0" borderId="0"/>
  </cellStyleXfs>
  <cellXfs count="44">
    <xf numFmtId="0" fontId="0" fillId="0" borderId="0" xfId="0"/>
    <xf numFmtId="0" fontId="3" fillId="0" borderId="0" xfId="0" applyFont="1"/>
    <xf numFmtId="0" fontId="3" fillId="0" borderId="0" xfId="0" applyFont="1" applyAlignment="1">
      <alignment horizontal="center"/>
    </xf>
    <xf numFmtId="0" fontId="0" fillId="0" borderId="0" xfId="0" applyAlignment="1">
      <alignment horizontal="center"/>
    </xf>
    <xf numFmtId="0" fontId="0" fillId="0" borderId="2" xfId="0" applyBorder="1"/>
    <xf numFmtId="0" fontId="0" fillId="0" borderId="1"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3" xfId="0" quotePrefix="1" applyBorder="1" applyAlignment="1">
      <alignment horizontal="center"/>
    </xf>
    <xf numFmtId="0" fontId="0" fillId="0" borderId="5" xfId="0" quotePrefix="1" applyBorder="1" applyAlignment="1">
      <alignment horizontal="center"/>
    </xf>
    <xf numFmtId="0" fontId="0" fillId="0" borderId="8" xfId="0" quotePrefix="1" applyBorder="1" applyAlignment="1">
      <alignment horizontal="center"/>
    </xf>
    <xf numFmtId="0" fontId="3" fillId="0" borderId="9" xfId="0" applyFont="1" applyBorder="1"/>
    <xf numFmtId="0" fontId="3" fillId="0" borderId="10" xfId="0" applyFont="1" applyBorder="1" applyAlignment="1">
      <alignment horizontal="center"/>
    </xf>
    <xf numFmtId="0" fontId="3" fillId="0" borderId="9" xfId="0" applyFont="1" applyBorder="1" applyAlignment="1">
      <alignment horizontal="right"/>
    </xf>
    <xf numFmtId="0" fontId="3" fillId="0" borderId="11" xfId="0" applyFont="1" applyBorder="1" applyAlignment="1">
      <alignment horizontal="right"/>
    </xf>
    <xf numFmtId="0" fontId="3" fillId="0" borderId="10" xfId="0" applyFont="1" applyFill="1" applyBorder="1" applyAlignment="1">
      <alignment horizontal="right"/>
    </xf>
    <xf numFmtId="0" fontId="3" fillId="0" borderId="10" xfId="0" applyFont="1" applyBorder="1" applyAlignment="1">
      <alignment horizontal="right"/>
    </xf>
    <xf numFmtId="0" fontId="0" fillId="0" borderId="0" xfId="0" applyAlignment="1">
      <alignment horizontal="left"/>
    </xf>
    <xf numFmtId="0" fontId="3" fillId="0" borderId="0" xfId="0" applyFont="1" applyAlignment="1">
      <alignment horizontal="left"/>
    </xf>
    <xf numFmtId="0" fontId="4" fillId="2" borderId="0" xfId="0" applyFont="1" applyFill="1"/>
    <xf numFmtId="0" fontId="4" fillId="2" borderId="12" xfId="0" applyFont="1" applyFill="1" applyBorder="1"/>
    <xf numFmtId="0" fontId="6" fillId="2" borderId="0" xfId="0" applyFont="1" applyFill="1" applyAlignment="1">
      <alignment horizontal="right"/>
    </xf>
    <xf numFmtId="0" fontId="5" fillId="2" borderId="0" xfId="0" applyFont="1" applyFill="1" applyAlignment="1">
      <alignment horizontal="right"/>
    </xf>
    <xf numFmtId="0" fontId="5" fillId="2" borderId="12" xfId="0" applyFont="1" applyFill="1" applyBorder="1" applyAlignment="1">
      <alignment horizontal="right"/>
    </xf>
    <xf numFmtId="0" fontId="4" fillId="2" borderId="0" xfId="0" applyFont="1" applyFill="1" applyAlignment="1">
      <alignment horizontal="left"/>
    </xf>
    <xf numFmtId="0" fontId="4" fillId="2" borderId="12" xfId="0" applyFont="1" applyFill="1" applyBorder="1" applyAlignment="1">
      <alignment horizontal="left"/>
    </xf>
    <xf numFmtId="49" fontId="5" fillId="0" borderId="0" xfId="0" applyNumberFormat="1" applyFont="1" applyAlignment="1">
      <alignment horizontal="center"/>
    </xf>
    <xf numFmtId="49" fontId="5" fillId="0" borderId="13" xfId="0" applyNumberFormat="1" applyFont="1" applyFill="1" applyBorder="1" applyAlignment="1">
      <alignment horizontal="center"/>
    </xf>
    <xf numFmtId="49" fontId="5" fillId="0" borderId="0" xfId="0" applyNumberFormat="1" applyFont="1" applyAlignment="1">
      <alignment horizontal="left"/>
    </xf>
    <xf numFmtId="49" fontId="7" fillId="0" borderId="0" xfId="0" applyNumberFormat="1" applyFont="1" applyAlignment="1">
      <alignment horizontal="left"/>
    </xf>
    <xf numFmtId="49" fontId="7" fillId="0" borderId="13" xfId="0" applyNumberFormat="1" applyFont="1" applyFill="1" applyBorder="1" applyAlignment="1">
      <alignment horizontal="left"/>
    </xf>
    <xf numFmtId="164" fontId="0" fillId="0" borderId="0" xfId="0" applyNumberFormat="1" applyAlignment="1">
      <alignment horizontal="center"/>
    </xf>
    <xf numFmtId="0" fontId="0" fillId="0" borderId="0" xfId="0" pivotButton="1"/>
    <xf numFmtId="10" fontId="0" fillId="0" borderId="0" xfId="0" applyNumberFormat="1"/>
    <xf numFmtId="164" fontId="0" fillId="3" borderId="0" xfId="0" applyNumberFormat="1" applyFill="1" applyAlignment="1">
      <alignment horizontal="center"/>
    </xf>
    <xf numFmtId="0" fontId="3" fillId="0" borderId="11" xfId="0" applyFont="1" applyBorder="1" applyAlignment="1">
      <alignment horizontal="left"/>
    </xf>
    <xf numFmtId="0" fontId="0" fillId="0" borderId="1" xfId="0" applyBorder="1" applyAlignment="1">
      <alignment horizontal="left"/>
    </xf>
    <xf numFmtId="0" fontId="0" fillId="0" borderId="0" xfId="0" applyBorder="1" applyAlignment="1">
      <alignment horizontal="left"/>
    </xf>
    <xf numFmtId="0" fontId="0" fillId="0" borderId="7" xfId="0" applyBorder="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[S03_65.xlsx]Pivot Table!PivotTable47</c:name>
    <c:fmtId val="1"/>
  </c:pivotSource>
  <c:chart>
    <c:autoTitleDeleted val="0"/>
    <c:pivotFmts>
      <c:pivotFmt>
        <c:idx val="0"/>
        <c:marker>
          <c:symbol val="none"/>
        </c:marker>
      </c:pivotFmt>
      <c:pivotFmt>
        <c:idx val="1"/>
        <c:marker>
          <c:symbol val="none"/>
        </c:marker>
      </c:pivotFmt>
    </c:pivotFmts>
    <c:plotArea>
      <c:layout/>
      <c:barChart>
        <c:barDir val="col"/>
        <c:grouping val="percentStacked"/>
        <c:varyColors val="0"/>
        <c:ser>
          <c:idx val="0"/>
          <c:order val="0"/>
          <c:tx>
            <c:strRef>
              <c:f>'Pivot Table'!$B$3:$B$4</c:f>
              <c:strCache>
                <c:ptCount val="1"/>
                <c:pt idx="0">
                  <c:v>No</c:v>
                </c:pt>
              </c:strCache>
            </c:strRef>
          </c:tx>
          <c:invertIfNegative val="0"/>
          <c:cat>
            <c:strRef>
              <c:f>'Pivot Table'!$A$5:$A$9</c:f>
              <c:strCache>
                <c:ptCount val="4"/>
                <c:pt idx="0">
                  <c:v>1</c:v>
                </c:pt>
                <c:pt idx="1">
                  <c:v>2</c:v>
                </c:pt>
                <c:pt idx="2">
                  <c:v>3</c:v>
                </c:pt>
                <c:pt idx="3">
                  <c:v>4</c:v>
                </c:pt>
              </c:strCache>
            </c:strRef>
          </c:cat>
          <c:val>
            <c:numRef>
              <c:f>'Pivot Table'!$B$5:$B$9</c:f>
              <c:numCache>
                <c:formatCode>0.00%</c:formatCode>
                <c:ptCount val="4"/>
                <c:pt idx="0">
                  <c:v>0.71052631578947367</c:v>
                </c:pt>
                <c:pt idx="1">
                  <c:v>0.52631578947368418</c:v>
                </c:pt>
                <c:pt idx="2">
                  <c:v>0.44444444444444442</c:v>
                </c:pt>
                <c:pt idx="3">
                  <c:v>0.18421052631578946</c:v>
                </c:pt>
              </c:numCache>
            </c:numRef>
          </c:val>
        </c:ser>
        <c:ser>
          <c:idx val="1"/>
          <c:order val="1"/>
          <c:tx>
            <c:strRef>
              <c:f>'Pivot Table'!$C$3:$C$4</c:f>
              <c:strCache>
                <c:ptCount val="1"/>
                <c:pt idx="0">
                  <c:v>Yes</c:v>
                </c:pt>
              </c:strCache>
            </c:strRef>
          </c:tx>
          <c:invertIfNegative val="0"/>
          <c:cat>
            <c:strRef>
              <c:f>'Pivot Table'!$A$5:$A$9</c:f>
              <c:strCache>
                <c:ptCount val="4"/>
                <c:pt idx="0">
                  <c:v>1</c:v>
                </c:pt>
                <c:pt idx="1">
                  <c:v>2</c:v>
                </c:pt>
                <c:pt idx="2">
                  <c:v>3</c:v>
                </c:pt>
                <c:pt idx="3">
                  <c:v>4</c:v>
                </c:pt>
              </c:strCache>
            </c:strRef>
          </c:cat>
          <c:val>
            <c:numRef>
              <c:f>'Pivot Table'!$C$5:$C$9</c:f>
              <c:numCache>
                <c:formatCode>0.00%</c:formatCode>
                <c:ptCount val="4"/>
                <c:pt idx="0">
                  <c:v>0.28947368421052633</c:v>
                </c:pt>
                <c:pt idx="1">
                  <c:v>0.47368421052631576</c:v>
                </c:pt>
                <c:pt idx="2">
                  <c:v>0.55555555555555558</c:v>
                </c:pt>
                <c:pt idx="3">
                  <c:v>0.81578947368421051</c:v>
                </c:pt>
              </c:numCache>
            </c:numRef>
          </c:val>
        </c:ser>
        <c:dLbls>
          <c:showLegendKey val="0"/>
          <c:showVal val="0"/>
          <c:showCatName val="0"/>
          <c:showSerName val="0"/>
          <c:showPercent val="0"/>
          <c:showBubbleSize val="0"/>
        </c:dLbls>
        <c:gapWidth val="150"/>
        <c:overlap val="100"/>
        <c:axId val="1055959912"/>
        <c:axId val="1055961088"/>
      </c:barChart>
      <c:catAx>
        <c:axId val="1055959912"/>
        <c:scaling>
          <c:orientation val="minMax"/>
        </c:scaling>
        <c:delete val="0"/>
        <c:axPos val="b"/>
        <c:numFmt formatCode="General" sourceLinked="0"/>
        <c:majorTickMark val="out"/>
        <c:minorTickMark val="none"/>
        <c:tickLblPos val="nextTo"/>
        <c:crossAx val="1055961088"/>
        <c:crosses val="autoZero"/>
        <c:auto val="1"/>
        <c:lblAlgn val="ctr"/>
        <c:lblOffset val="100"/>
        <c:noMultiLvlLbl val="0"/>
      </c:catAx>
      <c:valAx>
        <c:axId val="1055961088"/>
        <c:scaling>
          <c:orientation val="minMax"/>
        </c:scaling>
        <c:delete val="0"/>
        <c:axPos val="l"/>
        <c:majorGridlines/>
        <c:numFmt formatCode="0%" sourceLinked="1"/>
        <c:majorTickMark val="out"/>
        <c:minorTickMark val="none"/>
        <c:tickLblPos val="nextTo"/>
        <c:crossAx val="105595991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0</xdr:col>
      <xdr:colOff>352425</xdr:colOff>
      <xdr:row>1</xdr:row>
      <xdr:rowOff>76200</xdr:rowOff>
    </xdr:from>
    <xdr:to>
      <xdr:col>7</xdr:col>
      <xdr:colOff>352425</xdr:colOff>
      <xdr:row>4</xdr:row>
      <xdr:rowOff>66675</xdr:rowOff>
    </xdr:to>
    <xdr:sp macro="" textlink="">
      <xdr:nvSpPr>
        <xdr:cNvPr id="2" name="TextBox 1"/>
        <xdr:cNvSpPr txBox="1"/>
      </xdr:nvSpPr>
      <xdr:spPr>
        <a:xfrm>
          <a:off x="352425" y="266700"/>
          <a:ext cx="4267200" cy="561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http://www.basketball-reference.com/leagues/NBA_2009.html </a:t>
          </a:r>
        </a:p>
        <a:p>
          <a:r>
            <a:rPr lang="en-US" sz="1100"/>
            <a:t>and similar sites (just change the year)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819150</xdr:colOff>
      <xdr:row>8</xdr:row>
      <xdr:rowOff>133349</xdr:rowOff>
    </xdr:from>
    <xdr:to>
      <xdr:col>11</xdr:col>
      <xdr:colOff>152400</xdr:colOff>
      <xdr:row>14</xdr:row>
      <xdr:rowOff>85724</xdr:rowOff>
    </xdr:to>
    <xdr:sp macro="" textlink="">
      <xdr:nvSpPr>
        <xdr:cNvPr id="2" name="TextBox 1"/>
        <xdr:cNvSpPr txBox="1"/>
      </xdr:nvSpPr>
      <xdr:spPr>
        <a:xfrm>
          <a:off x="6772275" y="1514474"/>
          <a:ext cx="2724150" cy="10953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None of these variables is very highly correlated with wins. The largest in magnitude is are opponent assists (negative),</a:t>
          </a:r>
          <a:r>
            <a:rPr lang="en-US" sz="1100" baseline="0"/>
            <a:t> opponent points (negative), and defensive rebounds (positive).</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285750</xdr:colOff>
      <xdr:row>10</xdr:row>
      <xdr:rowOff>95250</xdr:rowOff>
    </xdr:from>
    <xdr:to>
      <xdr:col>14</xdr:col>
      <xdr:colOff>266700</xdr:colOff>
      <xdr:row>14</xdr:row>
      <xdr:rowOff>114300</xdr:rowOff>
    </xdr:to>
    <xdr:sp macro="" textlink="">
      <xdr:nvSpPr>
        <xdr:cNvPr id="2" name="TextBox 1"/>
        <xdr:cNvSpPr txBox="1"/>
      </xdr:nvSpPr>
      <xdr:spPr>
        <a:xfrm>
          <a:off x="6210300" y="2019300"/>
          <a:ext cx="2390775" cy="781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formula in any of these cells is somewhat complex, but it is copyable to the whole table.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628650</xdr:colOff>
      <xdr:row>11</xdr:row>
      <xdr:rowOff>190499</xdr:rowOff>
    </xdr:from>
    <xdr:to>
      <xdr:col>3</xdr:col>
      <xdr:colOff>742950</xdr:colOff>
      <xdr:row>20</xdr:row>
      <xdr:rowOff>180975</xdr:rowOff>
    </xdr:to>
    <xdr:sp macro="" textlink="">
      <xdr:nvSpPr>
        <xdr:cNvPr id="3" name="TextBox 2"/>
        <xdr:cNvSpPr txBox="1"/>
      </xdr:nvSpPr>
      <xdr:spPr>
        <a:xfrm>
          <a:off x="628650" y="2285999"/>
          <a:ext cx="3429000" cy="170497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You can find</a:t>
          </a:r>
          <a:r>
            <a:rPr lang="en-US" sz="1100" baseline="0"/>
            <a:t> a lot of information quickly with this approach. The pivot table/pivot chart combination shown is where defensive rebounds is the predictor. Clearly, teams in the lowest quartile of DRB have a much lower chance of reaching the playoffs than teams in the highest quartile of DRB. To see the effects of other variables, just drag DRB off and drag another variable on.</a:t>
          </a:r>
          <a:endParaRPr lang="en-US" sz="1100"/>
        </a:p>
      </xdr:txBody>
    </xdr:sp>
    <xdr:clientData/>
  </xdr:twoCellAnchor>
  <xdr:twoCellAnchor>
    <xdr:from>
      <xdr:col>4</xdr:col>
      <xdr:colOff>471487</xdr:colOff>
      <xdr:row>2</xdr:row>
      <xdr:rowOff>4762</xdr:rowOff>
    </xdr:from>
    <xdr:to>
      <xdr:col>12</xdr:col>
      <xdr:colOff>166687</xdr:colOff>
      <xdr:row>16</xdr:row>
      <xdr:rowOff>80962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Chris Albright" refreshedDate="40243.848080787036" createdVersion="3" refreshedVersion="3" minRefreshableVersion="3" recordCount="150">
  <cacheSource type="worksheet">
    <worksheetSource ref="A3:AH153" sheet="Data with Quartiles"/>
  </cacheSource>
  <cacheFields count="34">
    <cacheField name="Team" numFmtId="0">
      <sharedItems/>
    </cacheField>
    <cacheField name="Year" numFmtId="0">
      <sharedItems/>
    </cacheField>
    <cacheField name="Wins" numFmtId="0">
      <sharedItems containsSemiMixedTypes="0" containsString="0" containsNumber="1" containsInteger="1" minValue="13" maxValue="67"/>
    </cacheField>
    <cacheField name="Losses" numFmtId="0">
      <sharedItems containsSemiMixedTypes="0" containsString="0" containsNumber="1" containsInteger="1" minValue="15" maxValue="69"/>
    </cacheField>
    <cacheField name="Playoff team" numFmtId="0">
      <sharedItems count="2">
        <s v="Yes"/>
        <s v="No"/>
      </sharedItems>
    </cacheField>
    <cacheField name="SRS" numFmtId="0">
      <sharedItems containsSemiMixedTypes="0" containsString="0" containsNumber="1" minValue="-9.6199999999999992" maxValue="9.31"/>
    </cacheField>
    <cacheField name="FG" numFmtId="0">
      <sharedItems containsSemiMixedTypes="0" containsString="0" containsNumber="1" containsInteger="1" minValue="1" maxValue="4"/>
    </cacheField>
    <cacheField name="FGA" numFmtId="0">
      <sharedItems containsSemiMixedTypes="0" containsString="0" containsNumber="1" containsInteger="1" minValue="1" maxValue="4" count="4">
        <n v="2"/>
        <n v="1"/>
        <n v="4"/>
        <n v="3"/>
      </sharedItems>
    </cacheField>
    <cacheField name="3P" numFmtId="0">
      <sharedItems containsSemiMixedTypes="0" containsString="0" containsNumber="1" containsInteger="1" minValue="1" maxValue="4"/>
    </cacheField>
    <cacheField name="3PA" numFmtId="0">
      <sharedItems containsSemiMixedTypes="0" containsString="0" containsNumber="1" containsInteger="1" minValue="1" maxValue="4"/>
    </cacheField>
    <cacheField name="FT" numFmtId="0">
      <sharedItems containsSemiMixedTypes="0" containsString="0" containsNumber="1" containsInteger="1" minValue="1" maxValue="4"/>
    </cacheField>
    <cacheField name="FTA" numFmtId="0">
      <sharedItems containsSemiMixedTypes="0" containsString="0" containsNumber="1" containsInteger="1" minValue="1" maxValue="4"/>
    </cacheField>
    <cacheField name="ORB" numFmtId="0">
      <sharedItems containsSemiMixedTypes="0" containsString="0" containsNumber="1" containsInteger="1" minValue="1" maxValue="4" count="4">
        <n v="2"/>
        <n v="3"/>
        <n v="1"/>
        <n v="4"/>
      </sharedItems>
    </cacheField>
    <cacheField name="DRB" numFmtId="0">
      <sharedItems containsSemiMixedTypes="0" containsString="0" containsNumber="1" containsInteger="1" minValue="1" maxValue="4" count="4">
        <n v="2"/>
        <n v="4"/>
        <n v="1"/>
        <n v="3"/>
      </sharedItems>
    </cacheField>
    <cacheField name="AST" numFmtId="0">
      <sharedItems containsSemiMixedTypes="0" containsString="0" containsNumber="1" containsInteger="1" minValue="1" maxValue="4"/>
    </cacheField>
    <cacheField name="STL" numFmtId="0">
      <sharedItems containsSemiMixedTypes="0" containsString="0" containsNumber="1" containsInteger="1" minValue="1" maxValue="4"/>
    </cacheField>
    <cacheField name="BLK" numFmtId="0">
      <sharedItems containsSemiMixedTypes="0" containsString="0" containsNumber="1" containsInteger="1" minValue="1" maxValue="4"/>
    </cacheField>
    <cacheField name="TOV" numFmtId="0">
      <sharedItems containsSemiMixedTypes="0" containsString="0" containsNumber="1" containsInteger="1" minValue="1" maxValue="4"/>
    </cacheField>
    <cacheField name="PF" numFmtId="0">
      <sharedItems containsSemiMixedTypes="0" containsString="0" containsNumber="1" containsInteger="1" minValue="1" maxValue="4"/>
    </cacheField>
    <cacheField name="PTS" numFmtId="0">
      <sharedItems containsSemiMixedTypes="0" containsString="0" containsNumber="1" containsInteger="1" minValue="1" maxValue="4"/>
    </cacheField>
    <cacheField name="O_FG" numFmtId="0">
      <sharedItems containsSemiMixedTypes="0" containsString="0" containsNumber="1" containsInteger="1" minValue="1" maxValue="4"/>
    </cacheField>
    <cacheField name="O_FGA" numFmtId="0">
      <sharedItems containsSemiMixedTypes="0" containsString="0" containsNumber="1" containsInteger="1" minValue="1" maxValue="4"/>
    </cacheField>
    <cacheField name="O_3P" numFmtId="0">
      <sharedItems containsSemiMixedTypes="0" containsString="0" containsNumber="1" containsInteger="1" minValue="1" maxValue="4"/>
    </cacheField>
    <cacheField name="O_3PA" numFmtId="0">
      <sharedItems containsSemiMixedTypes="0" containsString="0" containsNumber="1" containsInteger="1" minValue="1" maxValue="4"/>
    </cacheField>
    <cacheField name="O_FT" numFmtId="0">
      <sharedItems containsSemiMixedTypes="0" containsString="0" containsNumber="1" containsInteger="1" minValue="1" maxValue="4"/>
    </cacheField>
    <cacheField name="O_FTA" numFmtId="0">
      <sharedItems containsSemiMixedTypes="0" containsString="0" containsNumber="1" containsInteger="1" minValue="1" maxValue="4"/>
    </cacheField>
    <cacheField name="O_ORB" numFmtId="0">
      <sharedItems containsSemiMixedTypes="0" containsString="0" containsNumber="1" containsInteger="1" minValue="1" maxValue="4"/>
    </cacheField>
    <cacheField name="O_DRB" numFmtId="0">
      <sharedItems containsSemiMixedTypes="0" containsString="0" containsNumber="1" containsInteger="1" minValue="1" maxValue="4"/>
    </cacheField>
    <cacheField name="O_AST" numFmtId="0">
      <sharedItems containsSemiMixedTypes="0" containsString="0" containsNumber="1" containsInteger="1" minValue="1" maxValue="4"/>
    </cacheField>
    <cacheField name="O_STL" numFmtId="0">
      <sharedItems containsSemiMixedTypes="0" containsString="0" containsNumber="1" containsInteger="1" minValue="1" maxValue="4"/>
    </cacheField>
    <cacheField name="O_BLK" numFmtId="0">
      <sharedItems containsSemiMixedTypes="0" containsString="0" containsNumber="1" containsInteger="1" minValue="1" maxValue="4"/>
    </cacheField>
    <cacheField name="O_TOV" numFmtId="0">
      <sharedItems containsSemiMixedTypes="0" containsString="0" containsNumber="1" containsInteger="1" minValue="1" maxValue="4"/>
    </cacheField>
    <cacheField name="O_PF" numFmtId="0">
      <sharedItems containsSemiMixedTypes="0" containsString="0" containsNumber="1" containsInteger="1" minValue="1" maxValue="4"/>
    </cacheField>
    <cacheField name="O_PTS" numFmtId="0">
      <sharedItems containsSemiMixedTypes="0" containsString="0" containsNumber="1" containsInteger="1" minValue="1" maxValue="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0">
  <r>
    <s v="Atlanta Hawks"/>
    <s v="2008-2009"/>
    <n v="47"/>
    <n v="35"/>
    <x v="0"/>
    <n v="1.71"/>
    <n v="2"/>
    <x v="0"/>
    <n v="4"/>
    <n v="4"/>
    <n v="2"/>
    <n v="2"/>
    <x v="0"/>
    <x v="0"/>
    <n v="2"/>
    <n v="3"/>
    <n v="2"/>
    <n v="1"/>
    <n v="1"/>
    <n v="3"/>
    <n v="3"/>
    <n v="3"/>
    <n v="3"/>
    <n v="3"/>
    <n v="1"/>
    <n v="1"/>
    <n v="3"/>
    <n v="3"/>
    <n v="2"/>
    <n v="1"/>
    <n v="1"/>
    <n v="2"/>
    <n v="1"/>
    <n v="2"/>
  </r>
  <r>
    <s v="Boston Celtics"/>
    <s v="2008-2009"/>
    <n v="62"/>
    <n v="20"/>
    <x v="0"/>
    <n v="7.44"/>
    <n v="4"/>
    <x v="1"/>
    <n v="3"/>
    <n v="2"/>
    <n v="3"/>
    <n v="2"/>
    <x v="0"/>
    <x v="1"/>
    <n v="4"/>
    <n v="3"/>
    <n v="2"/>
    <n v="4"/>
    <n v="4"/>
    <n v="4"/>
    <n v="1"/>
    <n v="2"/>
    <n v="3"/>
    <n v="3"/>
    <n v="3"/>
    <n v="3"/>
    <n v="1"/>
    <n v="1"/>
    <n v="1"/>
    <n v="2"/>
    <n v="2"/>
    <n v="3"/>
    <n v="3"/>
    <n v="1"/>
  </r>
  <r>
    <s v="Charlotte Bobcats"/>
    <s v="2008-2009"/>
    <n v="35"/>
    <n v="47"/>
    <x v="1"/>
    <n v="-1.19"/>
    <n v="1"/>
    <x v="1"/>
    <n v="2"/>
    <n v="2"/>
    <n v="1"/>
    <n v="1"/>
    <x v="0"/>
    <x v="2"/>
    <n v="3"/>
    <n v="2"/>
    <n v="3"/>
    <n v="4"/>
    <n v="2"/>
    <n v="1"/>
    <n v="2"/>
    <n v="1"/>
    <n v="4"/>
    <n v="4"/>
    <n v="1"/>
    <n v="1"/>
    <n v="2"/>
    <n v="1"/>
    <n v="1"/>
    <n v="3"/>
    <n v="4"/>
    <n v="3"/>
    <n v="2"/>
    <n v="1"/>
  </r>
  <r>
    <s v="Chicago Bulls"/>
    <s v="2008-2009"/>
    <n v="41"/>
    <n v="41"/>
    <x v="0"/>
    <n v="-0.16"/>
    <n v="4"/>
    <x v="2"/>
    <n v="2"/>
    <n v="2"/>
    <n v="3"/>
    <n v="2"/>
    <x v="1"/>
    <x v="3"/>
    <n v="3"/>
    <n v="3"/>
    <n v="4"/>
    <n v="3"/>
    <n v="2"/>
    <n v="4"/>
    <n v="4"/>
    <n v="4"/>
    <n v="2"/>
    <n v="2"/>
    <n v="3"/>
    <n v="2"/>
    <n v="4"/>
    <n v="3"/>
    <n v="2"/>
    <n v="3"/>
    <n v="4"/>
    <n v="2"/>
    <n v="1"/>
    <n v="4"/>
  </r>
  <r>
    <s v="Cleveland Cavaliers"/>
    <s v="2008-2009"/>
    <n v="66"/>
    <n v="16"/>
    <x v="0"/>
    <n v="8.68"/>
    <n v="3"/>
    <x v="0"/>
    <n v="4"/>
    <n v="4"/>
    <n v="2"/>
    <n v="2"/>
    <x v="0"/>
    <x v="1"/>
    <n v="2"/>
    <n v="3"/>
    <n v="3"/>
    <n v="1"/>
    <n v="1"/>
    <n v="3"/>
    <n v="1"/>
    <n v="2"/>
    <n v="2"/>
    <n v="3"/>
    <n v="1"/>
    <n v="1"/>
    <n v="2"/>
    <n v="1"/>
    <n v="1"/>
    <n v="1"/>
    <n v="1"/>
    <n v="2"/>
    <n v="1"/>
    <n v="1"/>
  </r>
  <r>
    <s v="Dallas Mavericks"/>
    <s v="2008-2009"/>
    <n v="50"/>
    <n v="32"/>
    <x v="0"/>
    <n v="1.68"/>
    <n v="4"/>
    <x v="2"/>
    <n v="3"/>
    <n v="4"/>
    <n v="2"/>
    <n v="1"/>
    <x v="0"/>
    <x v="1"/>
    <n v="3"/>
    <n v="3"/>
    <n v="3"/>
    <n v="1"/>
    <n v="1"/>
    <n v="4"/>
    <n v="3"/>
    <n v="4"/>
    <n v="3"/>
    <n v="2"/>
    <n v="2"/>
    <n v="1"/>
    <n v="2"/>
    <n v="3"/>
    <n v="1"/>
    <n v="2"/>
    <n v="1"/>
    <n v="1"/>
    <n v="1"/>
    <n v="3"/>
  </r>
  <r>
    <s v="Denver Nuggets"/>
    <s v="2008-2009"/>
    <n v="54"/>
    <n v="28"/>
    <x v="0"/>
    <n v="3.13"/>
    <n v="4"/>
    <x v="0"/>
    <n v="3"/>
    <n v="3"/>
    <n v="4"/>
    <n v="4"/>
    <x v="0"/>
    <x v="3"/>
    <n v="4"/>
    <n v="4"/>
    <n v="4"/>
    <n v="4"/>
    <n v="3"/>
    <n v="4"/>
    <n v="2"/>
    <n v="4"/>
    <n v="4"/>
    <n v="4"/>
    <n v="4"/>
    <n v="3"/>
    <n v="4"/>
    <n v="1"/>
    <n v="3"/>
    <n v="4"/>
    <n v="4"/>
    <n v="4"/>
    <n v="4"/>
    <n v="3"/>
  </r>
  <r>
    <s v="Detroit Pistons"/>
    <s v="2008-2009"/>
    <n v="39"/>
    <n v="43"/>
    <x v="0"/>
    <n v="-0.36"/>
    <n v="2"/>
    <x v="3"/>
    <n v="1"/>
    <n v="1"/>
    <n v="1"/>
    <n v="1"/>
    <x v="1"/>
    <x v="0"/>
    <n v="2"/>
    <n v="1"/>
    <n v="2"/>
    <n v="1"/>
    <n v="2"/>
    <n v="1"/>
    <n v="1"/>
    <n v="1"/>
    <n v="1"/>
    <n v="1"/>
    <n v="2"/>
    <n v="2"/>
    <n v="1"/>
    <n v="2"/>
    <n v="2"/>
    <n v="1"/>
    <n v="1"/>
    <n v="1"/>
    <n v="1"/>
    <n v="1"/>
  </r>
  <r>
    <s v="Golden State Warriors"/>
    <s v="2008-2009"/>
    <n v="29"/>
    <n v="53"/>
    <x v="1"/>
    <n v="-3.8"/>
    <n v="4"/>
    <x v="2"/>
    <n v="3"/>
    <n v="3"/>
    <n v="4"/>
    <n v="4"/>
    <x v="1"/>
    <x v="3"/>
    <n v="2"/>
    <n v="4"/>
    <n v="4"/>
    <n v="3"/>
    <n v="3"/>
    <n v="4"/>
    <n v="4"/>
    <n v="4"/>
    <n v="4"/>
    <n v="4"/>
    <n v="4"/>
    <n v="4"/>
    <n v="4"/>
    <n v="4"/>
    <n v="4"/>
    <n v="4"/>
    <n v="3"/>
    <n v="3"/>
    <n v="4"/>
    <n v="4"/>
  </r>
  <r>
    <s v="Houston Rockets"/>
    <s v="2008-2009"/>
    <n v="53"/>
    <n v="29"/>
    <x v="0"/>
    <n v="3.73"/>
    <n v="2"/>
    <x v="0"/>
    <n v="4"/>
    <n v="4"/>
    <n v="2"/>
    <n v="1"/>
    <x v="2"/>
    <x v="1"/>
    <n v="2"/>
    <n v="1"/>
    <n v="2"/>
    <n v="2"/>
    <n v="1"/>
    <n v="3"/>
    <n v="2"/>
    <n v="4"/>
    <n v="2"/>
    <n v="2"/>
    <n v="1"/>
    <n v="1"/>
    <n v="2"/>
    <n v="2"/>
    <n v="1"/>
    <n v="2"/>
    <n v="4"/>
    <n v="1"/>
    <n v="1"/>
    <n v="1"/>
  </r>
  <r>
    <s v="Indiana Pacers"/>
    <s v="2008-2009"/>
    <n v="36"/>
    <n v="46"/>
    <x v="1"/>
    <n v="-0.76"/>
    <n v="4"/>
    <x v="2"/>
    <n v="4"/>
    <n v="4"/>
    <n v="2"/>
    <n v="1"/>
    <x v="1"/>
    <x v="1"/>
    <n v="3"/>
    <n v="2"/>
    <n v="3"/>
    <n v="3"/>
    <n v="4"/>
    <n v="4"/>
    <n v="4"/>
    <n v="4"/>
    <n v="4"/>
    <n v="4"/>
    <n v="4"/>
    <n v="4"/>
    <n v="2"/>
    <n v="4"/>
    <n v="2"/>
    <n v="4"/>
    <n v="4"/>
    <n v="2"/>
    <n v="1"/>
    <n v="4"/>
  </r>
  <r>
    <s v="Los Angeles Clippers"/>
    <s v="2008-2009"/>
    <n v="19"/>
    <n v="63"/>
    <x v="1"/>
    <n v="-8.4600000000000009"/>
    <n v="2"/>
    <x v="3"/>
    <n v="3"/>
    <n v="3"/>
    <n v="1"/>
    <n v="1"/>
    <x v="0"/>
    <x v="2"/>
    <n v="3"/>
    <n v="2"/>
    <n v="4"/>
    <n v="3"/>
    <n v="1"/>
    <n v="1"/>
    <n v="4"/>
    <n v="4"/>
    <n v="3"/>
    <n v="3"/>
    <n v="2"/>
    <n v="2"/>
    <n v="3"/>
    <n v="4"/>
    <n v="4"/>
    <n v="4"/>
    <n v="3"/>
    <n v="1"/>
    <n v="1"/>
    <n v="4"/>
  </r>
  <r>
    <s v="Los Angeles Lakers"/>
    <s v="2008-2009"/>
    <n v="65"/>
    <n v="17"/>
    <x v="0"/>
    <n v="7.11"/>
    <n v="4"/>
    <x v="2"/>
    <n v="3"/>
    <n v="3"/>
    <n v="3"/>
    <n v="2"/>
    <x v="3"/>
    <x v="1"/>
    <n v="4"/>
    <n v="4"/>
    <n v="3"/>
    <n v="1"/>
    <n v="2"/>
    <n v="4"/>
    <n v="3"/>
    <n v="4"/>
    <n v="4"/>
    <n v="4"/>
    <n v="1"/>
    <n v="1"/>
    <n v="3"/>
    <n v="2"/>
    <n v="4"/>
    <n v="4"/>
    <n v="2"/>
    <n v="4"/>
    <n v="3"/>
    <n v="3"/>
  </r>
  <r>
    <s v="Memphis Grizzlies"/>
    <s v="2008-2009"/>
    <n v="24"/>
    <n v="58"/>
    <x v="1"/>
    <n v="-5.22"/>
    <n v="1"/>
    <x v="1"/>
    <n v="1"/>
    <n v="1"/>
    <n v="2"/>
    <n v="2"/>
    <x v="2"/>
    <x v="2"/>
    <n v="1"/>
    <n v="3"/>
    <n v="2"/>
    <n v="4"/>
    <n v="2"/>
    <n v="1"/>
    <n v="3"/>
    <n v="1"/>
    <n v="3"/>
    <n v="3"/>
    <n v="2"/>
    <n v="2"/>
    <n v="1"/>
    <n v="2"/>
    <n v="2"/>
    <n v="3"/>
    <n v="4"/>
    <n v="3"/>
    <n v="2"/>
    <n v="3"/>
  </r>
  <r>
    <s v="Miami Heat"/>
    <s v="2008-2009"/>
    <n v="43"/>
    <n v="39"/>
    <x v="0"/>
    <n v="0.49"/>
    <n v="3"/>
    <x v="3"/>
    <n v="4"/>
    <n v="4"/>
    <n v="1"/>
    <n v="1"/>
    <x v="2"/>
    <x v="0"/>
    <n v="2"/>
    <n v="4"/>
    <n v="4"/>
    <n v="1"/>
    <n v="2"/>
    <n v="3"/>
    <n v="2"/>
    <n v="1"/>
    <n v="4"/>
    <n v="4"/>
    <n v="3"/>
    <n v="2"/>
    <n v="2"/>
    <n v="3"/>
    <n v="2"/>
    <n v="1"/>
    <n v="1"/>
    <n v="3"/>
    <n v="1"/>
    <n v="2"/>
  </r>
  <r>
    <s v="Milwaukee Bucks"/>
    <s v="2008-2009"/>
    <n v="34"/>
    <n v="48"/>
    <x v="1"/>
    <n v="-0.87"/>
    <n v="3"/>
    <x v="2"/>
    <n v="3"/>
    <n v="2"/>
    <n v="3"/>
    <n v="2"/>
    <x v="1"/>
    <x v="2"/>
    <n v="3"/>
    <n v="3"/>
    <n v="1"/>
    <n v="2"/>
    <n v="4"/>
    <n v="3"/>
    <n v="1"/>
    <n v="1"/>
    <n v="4"/>
    <n v="3"/>
    <n v="4"/>
    <n v="4"/>
    <n v="1"/>
    <n v="3"/>
    <n v="2"/>
    <n v="3"/>
    <n v="2"/>
    <n v="4"/>
    <n v="3"/>
    <n v="3"/>
  </r>
  <r>
    <s v="Minnesota Timberwolves"/>
    <s v="2008-2009"/>
    <n v="24"/>
    <n v="58"/>
    <x v="1"/>
    <n v="-4.74"/>
    <n v="2"/>
    <x v="2"/>
    <n v="3"/>
    <n v="3"/>
    <n v="2"/>
    <n v="1"/>
    <x v="1"/>
    <x v="0"/>
    <n v="2"/>
    <n v="1"/>
    <n v="1"/>
    <n v="2"/>
    <n v="2"/>
    <n v="2"/>
    <n v="3"/>
    <n v="3"/>
    <n v="3"/>
    <n v="3"/>
    <n v="3"/>
    <n v="3"/>
    <n v="1"/>
    <n v="4"/>
    <n v="3"/>
    <n v="3"/>
    <n v="4"/>
    <n v="1"/>
    <n v="1"/>
    <n v="4"/>
  </r>
  <r>
    <s v="New Jersey Nets"/>
    <s v="2008-2009"/>
    <n v="34"/>
    <n v="48"/>
    <x v="1"/>
    <n v="-2.31"/>
    <n v="2"/>
    <x v="0"/>
    <n v="4"/>
    <n v="4"/>
    <n v="2"/>
    <n v="2"/>
    <x v="2"/>
    <x v="0"/>
    <n v="1"/>
    <n v="2"/>
    <n v="3"/>
    <n v="1"/>
    <n v="3"/>
    <n v="3"/>
    <n v="2"/>
    <n v="1"/>
    <n v="4"/>
    <n v="4"/>
    <n v="4"/>
    <n v="4"/>
    <n v="1"/>
    <n v="3"/>
    <n v="3"/>
    <n v="2"/>
    <n v="2"/>
    <n v="1"/>
    <n v="1"/>
    <n v="3"/>
  </r>
  <r>
    <s v="New Orleans Hornets"/>
    <s v="2008-2009"/>
    <n v="49"/>
    <n v="33"/>
    <x v="0"/>
    <n v="1.41"/>
    <n v="1"/>
    <x v="1"/>
    <n v="3"/>
    <n v="3"/>
    <n v="1"/>
    <n v="1"/>
    <x v="2"/>
    <x v="0"/>
    <n v="1"/>
    <n v="3"/>
    <n v="1"/>
    <n v="1"/>
    <n v="1"/>
    <n v="2"/>
    <n v="1"/>
    <n v="1"/>
    <n v="4"/>
    <n v="4"/>
    <n v="1"/>
    <n v="1"/>
    <n v="1"/>
    <n v="2"/>
    <n v="2"/>
    <n v="1"/>
    <n v="1"/>
    <n v="1"/>
    <n v="1"/>
    <n v="1"/>
  </r>
  <r>
    <s v="New York Knickerbockers"/>
    <s v="2008-2009"/>
    <n v="32"/>
    <n v="50"/>
    <x v="1"/>
    <n v="-2.33"/>
    <n v="4"/>
    <x v="2"/>
    <n v="4"/>
    <n v="4"/>
    <n v="1"/>
    <n v="1"/>
    <x v="0"/>
    <x v="1"/>
    <n v="3"/>
    <n v="3"/>
    <n v="1"/>
    <n v="2"/>
    <n v="1"/>
    <n v="4"/>
    <n v="4"/>
    <n v="4"/>
    <n v="4"/>
    <n v="4"/>
    <n v="2"/>
    <n v="2"/>
    <n v="3"/>
    <n v="4"/>
    <n v="3"/>
    <n v="4"/>
    <n v="4"/>
    <n v="3"/>
    <n v="1"/>
    <n v="4"/>
  </r>
  <r>
    <s v="Oklahoma City Thunder"/>
    <s v="2008-2009"/>
    <n v="23"/>
    <n v="59"/>
    <x v="1"/>
    <n v="-6.03"/>
    <n v="3"/>
    <x v="2"/>
    <n v="1"/>
    <n v="1"/>
    <n v="3"/>
    <n v="2"/>
    <x v="3"/>
    <x v="3"/>
    <n v="2"/>
    <n v="3"/>
    <n v="2"/>
    <n v="4"/>
    <n v="1"/>
    <n v="2"/>
    <n v="4"/>
    <n v="4"/>
    <n v="3"/>
    <n v="3"/>
    <n v="1"/>
    <n v="1"/>
    <n v="2"/>
    <n v="3"/>
    <n v="3"/>
    <n v="4"/>
    <n v="3"/>
    <n v="2"/>
    <n v="1"/>
    <n v="4"/>
  </r>
  <r>
    <s v="Orlando Magic"/>
    <s v="2008-2009"/>
    <n v="59"/>
    <n v="23"/>
    <x v="0"/>
    <n v="6.49"/>
    <n v="2"/>
    <x v="1"/>
    <n v="4"/>
    <n v="4"/>
    <n v="3"/>
    <n v="4"/>
    <x v="2"/>
    <x v="1"/>
    <n v="1"/>
    <n v="2"/>
    <n v="4"/>
    <n v="2"/>
    <n v="1"/>
    <n v="4"/>
    <n v="2"/>
    <n v="4"/>
    <n v="1"/>
    <n v="2"/>
    <n v="1"/>
    <n v="1"/>
    <n v="1"/>
    <n v="4"/>
    <n v="1"/>
    <n v="1"/>
    <n v="1"/>
    <n v="1"/>
    <n v="3"/>
    <n v="1"/>
  </r>
  <r>
    <s v="Philadelphia 76ers"/>
    <s v="2008-2009"/>
    <n v="41"/>
    <n v="41"/>
    <x v="0"/>
    <n v="0.16"/>
    <n v="3"/>
    <x v="0"/>
    <n v="1"/>
    <n v="1"/>
    <n v="3"/>
    <n v="3"/>
    <x v="3"/>
    <x v="2"/>
    <n v="2"/>
    <n v="4"/>
    <n v="3"/>
    <n v="2"/>
    <n v="1"/>
    <n v="2"/>
    <n v="3"/>
    <n v="2"/>
    <n v="4"/>
    <n v="4"/>
    <n v="1"/>
    <n v="1"/>
    <n v="3"/>
    <n v="1"/>
    <n v="3"/>
    <n v="2"/>
    <n v="3"/>
    <n v="4"/>
    <n v="2"/>
    <n v="2"/>
  </r>
  <r>
    <s v="Phoenix Suns"/>
    <s v="2008-2009"/>
    <n v="46"/>
    <n v="36"/>
    <x v="1"/>
    <n v="1.62"/>
    <n v="4"/>
    <x v="3"/>
    <n v="3"/>
    <n v="3"/>
    <n v="3"/>
    <n v="4"/>
    <x v="0"/>
    <x v="3"/>
    <n v="4"/>
    <n v="2"/>
    <n v="3"/>
    <n v="4"/>
    <n v="2"/>
    <n v="4"/>
    <n v="4"/>
    <n v="4"/>
    <n v="4"/>
    <n v="4"/>
    <n v="3"/>
    <n v="2"/>
    <n v="4"/>
    <n v="1"/>
    <n v="3"/>
    <n v="4"/>
    <n v="2"/>
    <n v="2"/>
    <n v="3"/>
    <n v="4"/>
  </r>
  <r>
    <s v="Portland Trail Blazers"/>
    <s v="2008-2009"/>
    <n v="54"/>
    <n v="28"/>
    <x v="0"/>
    <n v="5"/>
    <n v="3"/>
    <x v="0"/>
    <n v="4"/>
    <n v="3"/>
    <n v="2"/>
    <n v="2"/>
    <x v="3"/>
    <x v="2"/>
    <n v="2"/>
    <n v="1"/>
    <n v="3"/>
    <n v="1"/>
    <n v="1"/>
    <n v="3"/>
    <n v="2"/>
    <n v="1"/>
    <n v="2"/>
    <n v="2"/>
    <n v="1"/>
    <n v="1"/>
    <n v="1"/>
    <n v="1"/>
    <n v="1"/>
    <n v="1"/>
    <n v="1"/>
    <n v="1"/>
    <n v="2"/>
    <n v="1"/>
  </r>
  <r>
    <s v="Sacramento Kings"/>
    <s v="2008-2009"/>
    <n v="17"/>
    <n v="65"/>
    <x v="1"/>
    <n v="-8.59"/>
    <n v="3"/>
    <x v="3"/>
    <n v="4"/>
    <n v="4"/>
    <n v="4"/>
    <n v="3"/>
    <x v="2"/>
    <x v="2"/>
    <n v="1"/>
    <n v="2"/>
    <n v="2"/>
    <n v="4"/>
    <n v="4"/>
    <n v="3"/>
    <n v="4"/>
    <n v="4"/>
    <n v="4"/>
    <n v="3"/>
    <n v="4"/>
    <n v="4"/>
    <n v="4"/>
    <n v="4"/>
    <n v="3"/>
    <n v="4"/>
    <n v="4"/>
    <n v="3"/>
    <n v="2"/>
    <n v="4"/>
  </r>
  <r>
    <s v="San Antonio Spurs"/>
    <s v="2008-2009"/>
    <n v="54"/>
    <n v="28"/>
    <x v="0"/>
    <n v="3.36"/>
    <n v="3"/>
    <x v="0"/>
    <n v="4"/>
    <n v="4"/>
    <n v="1"/>
    <n v="1"/>
    <x v="2"/>
    <x v="1"/>
    <n v="3"/>
    <n v="1"/>
    <n v="1"/>
    <n v="1"/>
    <n v="1"/>
    <n v="2"/>
    <n v="2"/>
    <n v="3"/>
    <n v="1"/>
    <n v="1"/>
    <n v="1"/>
    <n v="1"/>
    <n v="1"/>
    <n v="4"/>
    <n v="1"/>
    <n v="1"/>
    <n v="1"/>
    <n v="1"/>
    <n v="1"/>
    <n v="1"/>
  </r>
  <r>
    <s v="Toronto Raptors"/>
    <s v="2008-2009"/>
    <n v="33"/>
    <n v="49"/>
    <x v="1"/>
    <n v="-2.5299999999999998"/>
    <n v="4"/>
    <x v="3"/>
    <n v="2"/>
    <n v="2"/>
    <n v="2"/>
    <n v="1"/>
    <x v="2"/>
    <x v="3"/>
    <n v="4"/>
    <n v="1"/>
    <n v="2"/>
    <n v="1"/>
    <n v="1"/>
    <n v="3"/>
    <n v="4"/>
    <n v="4"/>
    <n v="4"/>
    <n v="4"/>
    <n v="1"/>
    <n v="1"/>
    <n v="2"/>
    <n v="4"/>
    <n v="4"/>
    <n v="1"/>
    <n v="2"/>
    <n v="1"/>
    <n v="1"/>
    <n v="4"/>
  </r>
  <r>
    <s v="Utah Jazz"/>
    <s v="2008-2009"/>
    <n v="48"/>
    <n v="34"/>
    <x v="0"/>
    <n v="2.31"/>
    <n v="4"/>
    <x v="3"/>
    <n v="1"/>
    <n v="1"/>
    <n v="4"/>
    <n v="4"/>
    <x v="1"/>
    <x v="0"/>
    <n v="4"/>
    <n v="4"/>
    <n v="2"/>
    <n v="3"/>
    <n v="3"/>
    <n v="4"/>
    <n v="3"/>
    <n v="2"/>
    <n v="3"/>
    <n v="3"/>
    <n v="4"/>
    <n v="3"/>
    <n v="2"/>
    <n v="1"/>
    <n v="1"/>
    <n v="4"/>
    <n v="4"/>
    <n v="4"/>
    <n v="4"/>
    <n v="3"/>
  </r>
  <r>
    <s v="Washington Wizards"/>
    <s v="2008-2009"/>
    <n v="19"/>
    <n v="63"/>
    <x v="1"/>
    <n v="-6.98"/>
    <n v="3"/>
    <x v="3"/>
    <n v="1"/>
    <n v="2"/>
    <n v="1"/>
    <n v="1"/>
    <x v="1"/>
    <x v="2"/>
    <n v="1"/>
    <n v="3"/>
    <n v="2"/>
    <n v="2"/>
    <n v="1"/>
    <n v="2"/>
    <n v="4"/>
    <n v="3"/>
    <n v="4"/>
    <n v="4"/>
    <n v="2"/>
    <n v="2"/>
    <n v="3"/>
    <n v="3"/>
    <n v="4"/>
    <n v="2"/>
    <n v="4"/>
    <n v="2"/>
    <n v="1"/>
    <n v="4"/>
  </r>
  <r>
    <s v="Atlanta Hawks"/>
    <s v="2007-2008"/>
    <n v="37"/>
    <n v="45"/>
    <x v="0"/>
    <n v="-2.23"/>
    <n v="2"/>
    <x v="0"/>
    <n v="1"/>
    <n v="1"/>
    <n v="4"/>
    <n v="4"/>
    <x v="3"/>
    <x v="0"/>
    <n v="3"/>
    <n v="3"/>
    <n v="4"/>
    <n v="3"/>
    <n v="1"/>
    <n v="3"/>
    <n v="4"/>
    <n v="4"/>
    <n v="3"/>
    <n v="3"/>
    <n v="1"/>
    <n v="1"/>
    <n v="3"/>
    <n v="1"/>
    <n v="4"/>
    <n v="3"/>
    <n v="3"/>
    <n v="2"/>
    <n v="2"/>
    <n v="3"/>
  </r>
  <r>
    <s v="Boston Celtics"/>
    <s v="2007-2008"/>
    <n v="66"/>
    <n v="16"/>
    <x v="0"/>
    <n v="9.31"/>
    <n v="2"/>
    <x v="1"/>
    <n v="4"/>
    <n v="3"/>
    <n v="3"/>
    <n v="3"/>
    <x v="2"/>
    <x v="1"/>
    <n v="4"/>
    <n v="4"/>
    <n v="2"/>
    <n v="4"/>
    <n v="3"/>
    <n v="3"/>
    <n v="1"/>
    <n v="1"/>
    <n v="2"/>
    <n v="4"/>
    <n v="3"/>
    <n v="3"/>
    <n v="2"/>
    <n v="1"/>
    <n v="1"/>
    <n v="2"/>
    <n v="2"/>
    <n v="4"/>
    <n v="3"/>
    <n v="1"/>
  </r>
  <r>
    <s v="Charlotte Bobcats"/>
    <s v="2007-2008"/>
    <n v="32"/>
    <n v="50"/>
    <x v="1"/>
    <n v="-4.4800000000000004"/>
    <n v="2"/>
    <x v="0"/>
    <n v="3"/>
    <n v="3"/>
    <n v="2"/>
    <n v="3"/>
    <x v="0"/>
    <x v="0"/>
    <n v="3"/>
    <n v="3"/>
    <n v="3"/>
    <n v="3"/>
    <n v="2"/>
    <n v="2"/>
    <n v="4"/>
    <n v="3"/>
    <n v="3"/>
    <n v="3"/>
    <n v="2"/>
    <n v="2"/>
    <n v="4"/>
    <n v="4"/>
    <n v="3"/>
    <n v="3"/>
    <n v="4"/>
    <n v="2"/>
    <n v="2"/>
    <n v="3"/>
  </r>
  <r>
    <s v="Chicago Bulls"/>
    <s v="2007-2008"/>
    <n v="33"/>
    <n v="49"/>
    <x v="1"/>
    <n v="-3.19"/>
    <n v="3"/>
    <x v="2"/>
    <n v="2"/>
    <n v="2"/>
    <n v="2"/>
    <n v="2"/>
    <x v="3"/>
    <x v="3"/>
    <n v="3"/>
    <n v="4"/>
    <n v="3"/>
    <n v="3"/>
    <n v="2"/>
    <n v="2"/>
    <n v="2"/>
    <n v="3"/>
    <n v="4"/>
    <n v="4"/>
    <n v="4"/>
    <n v="3"/>
    <n v="2"/>
    <n v="4"/>
    <n v="3"/>
    <n v="4"/>
    <n v="4"/>
    <n v="4"/>
    <n v="2"/>
    <n v="3"/>
  </r>
  <r>
    <s v="Cleveland Cavaliers"/>
    <s v="2007-2008"/>
    <n v="45"/>
    <n v="37"/>
    <x v="0"/>
    <n v="-0.53"/>
    <n v="2"/>
    <x v="3"/>
    <n v="3"/>
    <n v="3"/>
    <n v="1"/>
    <n v="2"/>
    <x v="3"/>
    <x v="1"/>
    <n v="1"/>
    <n v="2"/>
    <n v="3"/>
    <n v="2"/>
    <n v="2"/>
    <n v="2"/>
    <n v="2"/>
    <n v="2"/>
    <n v="3"/>
    <n v="3"/>
    <n v="2"/>
    <n v="2"/>
    <n v="1"/>
    <n v="3"/>
    <n v="2"/>
    <n v="1"/>
    <n v="2"/>
    <n v="1"/>
    <n v="1"/>
    <n v="2"/>
  </r>
  <r>
    <s v="Dallas Mavericks"/>
    <s v="2007-2008"/>
    <n v="51"/>
    <n v="31"/>
    <x v="0"/>
    <n v="4.7"/>
    <n v="3"/>
    <x v="0"/>
    <n v="2"/>
    <n v="2"/>
    <n v="4"/>
    <n v="2"/>
    <x v="0"/>
    <x v="1"/>
    <n v="2"/>
    <n v="1"/>
    <n v="3"/>
    <n v="1"/>
    <n v="2"/>
    <n v="3"/>
    <n v="2"/>
    <n v="3"/>
    <n v="1"/>
    <n v="1"/>
    <n v="3"/>
    <n v="3"/>
    <n v="2"/>
    <n v="2"/>
    <n v="1"/>
    <n v="1"/>
    <n v="2"/>
    <n v="1"/>
    <n v="2"/>
    <n v="2"/>
  </r>
  <r>
    <s v="Denver Nuggets"/>
    <s v="2007-2008"/>
    <n v="50"/>
    <n v="32"/>
    <x v="0"/>
    <n v="3.74"/>
    <n v="4"/>
    <x v="2"/>
    <n v="3"/>
    <n v="4"/>
    <n v="4"/>
    <n v="4"/>
    <x v="0"/>
    <x v="1"/>
    <n v="4"/>
    <n v="4"/>
    <n v="4"/>
    <n v="3"/>
    <n v="2"/>
    <n v="4"/>
    <n v="4"/>
    <n v="4"/>
    <n v="4"/>
    <n v="4"/>
    <n v="2"/>
    <n v="2"/>
    <n v="4"/>
    <n v="4"/>
    <n v="4"/>
    <n v="4"/>
    <n v="2"/>
    <n v="4"/>
    <n v="4"/>
    <n v="4"/>
  </r>
  <r>
    <s v="Detroit Pistons"/>
    <s v="2007-2008"/>
    <n v="59"/>
    <n v="23"/>
    <x v="0"/>
    <n v="6.67"/>
    <n v="3"/>
    <x v="0"/>
    <n v="2"/>
    <n v="2"/>
    <n v="2"/>
    <n v="1"/>
    <x v="1"/>
    <x v="0"/>
    <n v="4"/>
    <n v="2"/>
    <n v="4"/>
    <n v="1"/>
    <n v="2"/>
    <n v="2"/>
    <n v="1"/>
    <n v="1"/>
    <n v="1"/>
    <n v="1"/>
    <n v="2"/>
    <n v="2"/>
    <n v="1"/>
    <n v="1"/>
    <n v="1"/>
    <n v="1"/>
    <n v="1"/>
    <n v="1"/>
    <n v="1"/>
    <n v="1"/>
  </r>
  <r>
    <s v="Golden State Warriors"/>
    <s v="2007-2008"/>
    <n v="48"/>
    <n v="34"/>
    <x v="1"/>
    <n v="2.38"/>
    <n v="4"/>
    <x v="2"/>
    <n v="4"/>
    <n v="4"/>
    <n v="2"/>
    <n v="2"/>
    <x v="3"/>
    <x v="3"/>
    <n v="4"/>
    <n v="4"/>
    <n v="2"/>
    <n v="1"/>
    <n v="3"/>
    <n v="4"/>
    <n v="4"/>
    <n v="4"/>
    <n v="4"/>
    <n v="4"/>
    <n v="4"/>
    <n v="4"/>
    <n v="4"/>
    <n v="4"/>
    <n v="4"/>
    <n v="2"/>
    <n v="3"/>
    <n v="4"/>
    <n v="2"/>
    <n v="4"/>
  </r>
  <r>
    <s v="Houston Rockets"/>
    <s v="2007-2008"/>
    <n v="55"/>
    <n v="27"/>
    <x v="0"/>
    <n v="4.84"/>
    <n v="3"/>
    <x v="3"/>
    <n v="4"/>
    <n v="4"/>
    <n v="1"/>
    <n v="1"/>
    <x v="3"/>
    <x v="1"/>
    <n v="3"/>
    <n v="3"/>
    <n v="3"/>
    <n v="1"/>
    <n v="1"/>
    <n v="2"/>
    <n v="1"/>
    <n v="3"/>
    <n v="1"/>
    <n v="1"/>
    <n v="1"/>
    <n v="1"/>
    <n v="2"/>
    <n v="2"/>
    <n v="1"/>
    <n v="3"/>
    <n v="2"/>
    <n v="1"/>
    <n v="1"/>
    <n v="1"/>
  </r>
  <r>
    <s v="Indiana Pacers"/>
    <s v="2007-2008"/>
    <n v="36"/>
    <n v="46"/>
    <x v="1"/>
    <n v="-1.86"/>
    <n v="4"/>
    <x v="2"/>
    <n v="4"/>
    <n v="4"/>
    <n v="2"/>
    <n v="2"/>
    <x v="0"/>
    <x v="1"/>
    <n v="4"/>
    <n v="3"/>
    <n v="3"/>
    <n v="3"/>
    <n v="4"/>
    <n v="4"/>
    <n v="3"/>
    <n v="4"/>
    <n v="4"/>
    <n v="4"/>
    <n v="4"/>
    <n v="4"/>
    <n v="3"/>
    <n v="4"/>
    <n v="3"/>
    <n v="4"/>
    <n v="3"/>
    <n v="4"/>
    <n v="2"/>
    <n v="4"/>
  </r>
  <r>
    <s v="Los Angeles Clippers"/>
    <s v="2007-2008"/>
    <n v="23"/>
    <n v="59"/>
    <x v="1"/>
    <n v="-6.56"/>
    <n v="1"/>
    <x v="0"/>
    <n v="1"/>
    <n v="1"/>
    <n v="4"/>
    <n v="3"/>
    <x v="2"/>
    <x v="3"/>
    <n v="3"/>
    <n v="2"/>
    <n v="3"/>
    <n v="2"/>
    <n v="2"/>
    <n v="1"/>
    <n v="4"/>
    <n v="3"/>
    <n v="2"/>
    <n v="2"/>
    <n v="2"/>
    <n v="2"/>
    <n v="2"/>
    <n v="4"/>
    <n v="4"/>
    <n v="2"/>
    <n v="2"/>
    <n v="1"/>
    <n v="2"/>
    <n v="3"/>
  </r>
  <r>
    <s v="Los Angeles Lakers"/>
    <s v="2007-2008"/>
    <n v="57"/>
    <n v="25"/>
    <x v="0"/>
    <n v="7.34"/>
    <n v="4"/>
    <x v="2"/>
    <n v="4"/>
    <n v="4"/>
    <n v="4"/>
    <n v="4"/>
    <x v="0"/>
    <x v="1"/>
    <n v="4"/>
    <n v="4"/>
    <n v="3"/>
    <n v="2"/>
    <n v="2"/>
    <n v="4"/>
    <n v="4"/>
    <n v="4"/>
    <n v="4"/>
    <n v="4"/>
    <n v="2"/>
    <n v="2"/>
    <n v="4"/>
    <n v="3"/>
    <n v="3"/>
    <n v="3"/>
    <n v="2"/>
    <n v="2"/>
    <n v="3"/>
    <n v="3"/>
  </r>
  <r>
    <s v="Memphis Grizzlies"/>
    <s v="2007-2008"/>
    <n v="22"/>
    <n v="60"/>
    <x v="1"/>
    <n v="-5.75"/>
    <n v="4"/>
    <x v="2"/>
    <n v="4"/>
    <n v="4"/>
    <n v="2"/>
    <n v="3"/>
    <x v="2"/>
    <x v="1"/>
    <n v="1"/>
    <n v="1"/>
    <n v="2"/>
    <n v="4"/>
    <n v="1"/>
    <n v="4"/>
    <n v="4"/>
    <n v="4"/>
    <n v="4"/>
    <n v="4"/>
    <n v="1"/>
    <n v="1"/>
    <n v="3"/>
    <n v="4"/>
    <n v="4"/>
    <n v="4"/>
    <n v="3"/>
    <n v="1"/>
    <n v="3"/>
    <n v="4"/>
  </r>
  <r>
    <s v="Miami Heat"/>
    <s v="2007-2008"/>
    <n v="15"/>
    <n v="67"/>
    <x v="1"/>
    <n v="-8.5299999999999994"/>
    <n v="1"/>
    <x v="1"/>
    <n v="2"/>
    <n v="2"/>
    <n v="1"/>
    <n v="1"/>
    <x v="2"/>
    <x v="2"/>
    <n v="1"/>
    <n v="2"/>
    <n v="2"/>
    <n v="3"/>
    <n v="1"/>
    <n v="1"/>
    <n v="3"/>
    <n v="2"/>
    <n v="3"/>
    <n v="3"/>
    <n v="2"/>
    <n v="2"/>
    <n v="2"/>
    <n v="4"/>
    <n v="3"/>
    <n v="3"/>
    <n v="1"/>
    <n v="2"/>
    <n v="1"/>
    <n v="3"/>
  </r>
  <r>
    <s v="Milwaukee Bucks"/>
    <s v="2007-2008"/>
    <n v="26"/>
    <n v="56"/>
    <x v="1"/>
    <n v="-6.91"/>
    <n v="3"/>
    <x v="2"/>
    <n v="2"/>
    <n v="2"/>
    <n v="1"/>
    <n v="2"/>
    <x v="3"/>
    <x v="2"/>
    <n v="3"/>
    <n v="1"/>
    <n v="2"/>
    <n v="3"/>
    <n v="2"/>
    <n v="2"/>
    <n v="4"/>
    <n v="3"/>
    <n v="4"/>
    <n v="4"/>
    <n v="3"/>
    <n v="3"/>
    <n v="1"/>
    <n v="2"/>
    <n v="4"/>
    <n v="4"/>
    <n v="3"/>
    <n v="2"/>
    <n v="2"/>
    <n v="4"/>
  </r>
  <r>
    <s v="Minnesota Timberwolves"/>
    <s v="2007-2008"/>
    <n v="22"/>
    <n v="60"/>
    <x v="1"/>
    <n v="-6.25"/>
    <n v="4"/>
    <x v="2"/>
    <n v="2"/>
    <n v="2"/>
    <n v="1"/>
    <n v="1"/>
    <x v="1"/>
    <x v="0"/>
    <n v="1"/>
    <n v="3"/>
    <n v="1"/>
    <n v="3"/>
    <n v="3"/>
    <n v="1"/>
    <n v="3"/>
    <n v="2"/>
    <n v="3"/>
    <n v="4"/>
    <n v="4"/>
    <n v="4"/>
    <n v="1"/>
    <n v="4"/>
    <n v="4"/>
    <n v="3"/>
    <n v="4"/>
    <n v="1"/>
    <n v="1"/>
    <n v="4"/>
  </r>
  <r>
    <s v="New Jersey Nets"/>
    <s v="2007-2008"/>
    <n v="34"/>
    <n v="48"/>
    <x v="1"/>
    <n v="-5.15"/>
    <n v="1"/>
    <x v="0"/>
    <n v="2"/>
    <n v="3"/>
    <n v="3"/>
    <n v="4"/>
    <x v="0"/>
    <x v="3"/>
    <n v="4"/>
    <n v="1"/>
    <n v="2"/>
    <n v="3"/>
    <n v="3"/>
    <n v="2"/>
    <n v="2"/>
    <n v="2"/>
    <n v="3"/>
    <n v="3"/>
    <n v="4"/>
    <n v="4"/>
    <n v="2"/>
    <n v="3"/>
    <n v="3"/>
    <n v="4"/>
    <n v="2"/>
    <n v="1"/>
    <n v="3"/>
    <n v="3"/>
  </r>
  <r>
    <s v="New Orleans Hornets"/>
    <s v="2007-2008"/>
    <n v="56"/>
    <n v="26"/>
    <x v="0"/>
    <n v="5.46"/>
    <n v="4"/>
    <x v="2"/>
    <n v="4"/>
    <n v="4"/>
    <n v="1"/>
    <n v="1"/>
    <x v="1"/>
    <x v="3"/>
    <n v="3"/>
    <n v="4"/>
    <n v="1"/>
    <n v="1"/>
    <n v="1"/>
    <n v="4"/>
    <n v="3"/>
    <n v="3"/>
    <n v="3"/>
    <n v="4"/>
    <n v="1"/>
    <n v="1"/>
    <n v="1"/>
    <n v="3"/>
    <n v="3"/>
    <n v="1"/>
    <n v="1"/>
    <n v="2"/>
    <n v="1"/>
    <n v="2"/>
  </r>
  <r>
    <s v="New York Knickerbockers"/>
    <s v="2007-2008"/>
    <n v="23"/>
    <n v="59"/>
    <x v="1"/>
    <n v="-6.54"/>
    <n v="2"/>
    <x v="2"/>
    <n v="2"/>
    <n v="3"/>
    <n v="2"/>
    <n v="2"/>
    <x v="3"/>
    <x v="3"/>
    <n v="1"/>
    <n v="1"/>
    <n v="1"/>
    <n v="2"/>
    <n v="2"/>
    <n v="2"/>
    <n v="4"/>
    <n v="3"/>
    <n v="4"/>
    <n v="4"/>
    <n v="2"/>
    <n v="2"/>
    <n v="3"/>
    <n v="4"/>
    <n v="3"/>
    <n v="3"/>
    <n v="4"/>
    <n v="1"/>
    <n v="1"/>
    <n v="4"/>
  </r>
  <r>
    <s v="Orlando Magic"/>
    <s v="2007-2008"/>
    <n v="52"/>
    <n v="30"/>
    <x v="0"/>
    <n v="4.79"/>
    <n v="4"/>
    <x v="0"/>
    <n v="4"/>
    <n v="4"/>
    <n v="3"/>
    <n v="4"/>
    <x v="2"/>
    <x v="1"/>
    <n v="2"/>
    <n v="1"/>
    <n v="1"/>
    <n v="2"/>
    <n v="2"/>
    <n v="4"/>
    <n v="3"/>
    <n v="4"/>
    <n v="3"/>
    <n v="3"/>
    <n v="2"/>
    <n v="2"/>
    <n v="2"/>
    <n v="3"/>
    <n v="3"/>
    <n v="2"/>
    <n v="1"/>
    <n v="1"/>
    <n v="3"/>
    <n v="3"/>
  </r>
  <r>
    <s v="Philadelphia 76ers"/>
    <s v="2007-2008"/>
    <n v="40"/>
    <n v="42"/>
    <x v="0"/>
    <n v="0.19"/>
    <n v="4"/>
    <x v="3"/>
    <n v="1"/>
    <n v="1"/>
    <n v="2"/>
    <n v="3"/>
    <x v="3"/>
    <x v="2"/>
    <n v="2"/>
    <n v="4"/>
    <n v="3"/>
    <n v="2"/>
    <n v="1"/>
    <n v="2"/>
    <n v="3"/>
    <n v="2"/>
    <n v="4"/>
    <n v="4"/>
    <n v="1"/>
    <n v="1"/>
    <n v="2"/>
    <n v="1"/>
    <n v="4"/>
    <n v="1"/>
    <n v="3"/>
    <n v="4"/>
    <n v="1"/>
    <n v="2"/>
  </r>
  <r>
    <s v="Phoenix Suns"/>
    <s v="2007-2008"/>
    <n v="55"/>
    <n v="27"/>
    <x v="0"/>
    <n v="5.14"/>
    <n v="4"/>
    <x v="2"/>
    <n v="4"/>
    <n v="4"/>
    <n v="2"/>
    <n v="2"/>
    <x v="2"/>
    <x v="1"/>
    <n v="4"/>
    <n v="1"/>
    <n v="4"/>
    <n v="2"/>
    <n v="1"/>
    <n v="4"/>
    <n v="4"/>
    <n v="4"/>
    <n v="2"/>
    <n v="2"/>
    <n v="1"/>
    <n v="1"/>
    <n v="4"/>
    <n v="3"/>
    <n v="1"/>
    <n v="3"/>
    <n v="1"/>
    <n v="1"/>
    <n v="2"/>
    <n v="4"/>
  </r>
  <r>
    <s v="Portland Trail Blazers"/>
    <s v="2007-2008"/>
    <n v="41"/>
    <n v="41"/>
    <x v="1"/>
    <n v="-0.52"/>
    <n v="2"/>
    <x v="0"/>
    <n v="3"/>
    <n v="3"/>
    <n v="1"/>
    <n v="1"/>
    <x v="0"/>
    <x v="0"/>
    <n v="3"/>
    <n v="1"/>
    <n v="2"/>
    <n v="1"/>
    <n v="1"/>
    <n v="1"/>
    <n v="2"/>
    <n v="3"/>
    <n v="3"/>
    <n v="3"/>
    <n v="1"/>
    <n v="1"/>
    <n v="3"/>
    <n v="2"/>
    <n v="2"/>
    <n v="1"/>
    <n v="1"/>
    <n v="1"/>
    <n v="1"/>
    <n v="2"/>
  </r>
  <r>
    <s v="Sacramento Kings"/>
    <s v="2007-2008"/>
    <n v="38"/>
    <n v="44"/>
    <x v="1"/>
    <n v="-1.85"/>
    <n v="3"/>
    <x v="0"/>
    <n v="3"/>
    <n v="2"/>
    <n v="4"/>
    <n v="4"/>
    <x v="2"/>
    <x v="0"/>
    <n v="1"/>
    <n v="4"/>
    <n v="1"/>
    <n v="4"/>
    <n v="3"/>
    <n v="4"/>
    <n v="4"/>
    <n v="4"/>
    <n v="4"/>
    <n v="4"/>
    <n v="4"/>
    <n v="4"/>
    <n v="3"/>
    <n v="2"/>
    <n v="4"/>
    <n v="4"/>
    <n v="4"/>
    <n v="3"/>
    <n v="3"/>
    <n v="4"/>
  </r>
  <r>
    <s v="San Antonio Spurs"/>
    <s v="2007-2008"/>
    <n v="56"/>
    <n v="26"/>
    <x v="0"/>
    <n v="5.0999999999999996"/>
    <n v="2"/>
    <x v="0"/>
    <n v="4"/>
    <n v="4"/>
    <n v="1"/>
    <n v="1"/>
    <x v="2"/>
    <x v="1"/>
    <n v="2"/>
    <n v="1"/>
    <n v="1"/>
    <n v="1"/>
    <n v="1"/>
    <n v="1"/>
    <n v="1"/>
    <n v="2"/>
    <n v="1"/>
    <n v="1"/>
    <n v="1"/>
    <n v="1"/>
    <n v="1"/>
    <n v="3"/>
    <n v="1"/>
    <n v="2"/>
    <n v="2"/>
    <n v="1"/>
    <n v="1"/>
    <n v="1"/>
  </r>
  <r>
    <s v="Seattle Supersonics"/>
    <s v="2007-2008"/>
    <n v="20"/>
    <n v="62"/>
    <x v="1"/>
    <n v="-8.0399999999999991"/>
    <n v="4"/>
    <x v="2"/>
    <n v="1"/>
    <n v="1"/>
    <n v="1"/>
    <n v="1"/>
    <x v="1"/>
    <x v="1"/>
    <n v="3"/>
    <n v="1"/>
    <n v="3"/>
    <n v="4"/>
    <n v="1"/>
    <n v="2"/>
    <n v="4"/>
    <n v="4"/>
    <n v="4"/>
    <n v="4"/>
    <n v="2"/>
    <n v="2"/>
    <n v="3"/>
    <n v="4"/>
    <n v="4"/>
    <n v="4"/>
    <n v="4"/>
    <n v="1"/>
    <n v="1"/>
    <n v="4"/>
  </r>
  <r>
    <s v="Toronto Raptors"/>
    <s v="2007-2008"/>
    <n v="41"/>
    <n v="41"/>
    <x v="0"/>
    <n v="2.4700000000000002"/>
    <n v="4"/>
    <x v="2"/>
    <n v="3"/>
    <n v="3"/>
    <n v="1"/>
    <n v="1"/>
    <x v="2"/>
    <x v="3"/>
    <n v="4"/>
    <n v="2"/>
    <n v="1"/>
    <n v="1"/>
    <n v="1"/>
    <n v="3"/>
    <n v="3"/>
    <n v="3"/>
    <n v="4"/>
    <n v="4"/>
    <n v="1"/>
    <n v="1"/>
    <n v="1"/>
    <n v="4"/>
    <n v="3"/>
    <n v="1"/>
    <n v="1"/>
    <n v="2"/>
    <n v="1"/>
    <n v="2"/>
  </r>
  <r>
    <s v="Utah Jazz"/>
    <s v="2007-2008"/>
    <n v="54"/>
    <n v="28"/>
    <x v="0"/>
    <n v="6.87"/>
    <n v="4"/>
    <x v="3"/>
    <n v="1"/>
    <n v="1"/>
    <n v="4"/>
    <n v="4"/>
    <x v="1"/>
    <x v="0"/>
    <n v="4"/>
    <n v="4"/>
    <n v="2"/>
    <n v="3"/>
    <n v="4"/>
    <n v="4"/>
    <n v="2"/>
    <n v="1"/>
    <n v="3"/>
    <n v="3"/>
    <n v="4"/>
    <n v="4"/>
    <n v="1"/>
    <n v="1"/>
    <n v="1"/>
    <n v="3"/>
    <n v="3"/>
    <n v="4"/>
    <n v="3"/>
    <n v="3"/>
  </r>
  <r>
    <s v="Washington Wizards"/>
    <s v="2007-2008"/>
    <n v="43"/>
    <n v="39"/>
    <x v="0"/>
    <n v="-0.61"/>
    <n v="2"/>
    <x v="3"/>
    <n v="4"/>
    <n v="4"/>
    <n v="2"/>
    <n v="2"/>
    <x v="3"/>
    <x v="0"/>
    <n v="1"/>
    <n v="4"/>
    <n v="3"/>
    <n v="1"/>
    <n v="1"/>
    <n v="3"/>
    <n v="3"/>
    <n v="2"/>
    <n v="4"/>
    <n v="4"/>
    <n v="1"/>
    <n v="1"/>
    <n v="2"/>
    <n v="3"/>
    <n v="4"/>
    <n v="1"/>
    <n v="2"/>
    <n v="2"/>
    <n v="1"/>
    <n v="3"/>
  </r>
  <r>
    <s v="Atlanta Hawks"/>
    <s v="2006-2007"/>
    <n v="30"/>
    <n v="52"/>
    <x v="1"/>
    <n v="-4.8600000000000003"/>
    <n v="1"/>
    <x v="1"/>
    <n v="1"/>
    <n v="1"/>
    <n v="3"/>
    <n v="3"/>
    <x v="1"/>
    <x v="2"/>
    <n v="1"/>
    <n v="3"/>
    <n v="4"/>
    <n v="4"/>
    <n v="4"/>
    <n v="1"/>
    <n v="2"/>
    <n v="1"/>
    <n v="2"/>
    <n v="1"/>
    <n v="4"/>
    <n v="4"/>
    <n v="3"/>
    <n v="1"/>
    <n v="2"/>
    <n v="2"/>
    <n v="3"/>
    <n v="3"/>
    <n v="3"/>
    <n v="2"/>
  </r>
  <r>
    <s v="Boston Celtics"/>
    <s v="2006-2007"/>
    <n v="24"/>
    <n v="58"/>
    <x v="1"/>
    <n v="-3.71"/>
    <n v="1"/>
    <x v="0"/>
    <n v="2"/>
    <n v="2"/>
    <n v="3"/>
    <n v="3"/>
    <x v="0"/>
    <x v="0"/>
    <n v="1"/>
    <n v="2"/>
    <n v="2"/>
    <n v="4"/>
    <n v="4"/>
    <n v="2"/>
    <n v="2"/>
    <n v="1"/>
    <n v="1"/>
    <n v="1"/>
    <n v="4"/>
    <n v="4"/>
    <n v="1"/>
    <n v="3"/>
    <n v="3"/>
    <n v="3"/>
    <n v="4"/>
    <n v="3"/>
    <n v="2"/>
    <n v="3"/>
  </r>
  <r>
    <s v="Charlotte Bobcats"/>
    <s v="2006-2007"/>
    <n v="33"/>
    <n v="49"/>
    <x v="1"/>
    <n v="-3.97"/>
    <n v="2"/>
    <x v="3"/>
    <n v="2"/>
    <n v="2"/>
    <n v="2"/>
    <n v="3"/>
    <x v="0"/>
    <x v="2"/>
    <n v="4"/>
    <n v="4"/>
    <n v="2"/>
    <n v="3"/>
    <n v="4"/>
    <n v="2"/>
    <n v="3"/>
    <n v="2"/>
    <n v="1"/>
    <n v="1"/>
    <n v="4"/>
    <n v="4"/>
    <n v="3"/>
    <n v="4"/>
    <n v="2"/>
    <n v="3"/>
    <n v="4"/>
    <n v="4"/>
    <n v="2"/>
    <n v="3"/>
  </r>
  <r>
    <s v="Chicago Bulls"/>
    <s v="2006-2007"/>
    <n v="49"/>
    <n v="33"/>
    <x v="0"/>
    <n v="4.5199999999999996"/>
    <n v="3"/>
    <x v="3"/>
    <n v="2"/>
    <n v="2"/>
    <n v="2"/>
    <n v="2"/>
    <x v="1"/>
    <x v="1"/>
    <n v="4"/>
    <n v="4"/>
    <n v="4"/>
    <n v="4"/>
    <n v="4"/>
    <n v="3"/>
    <n v="1"/>
    <n v="1"/>
    <n v="2"/>
    <n v="2"/>
    <n v="3"/>
    <n v="3"/>
    <n v="2"/>
    <n v="2"/>
    <n v="2"/>
    <n v="3"/>
    <n v="4"/>
    <n v="4"/>
    <n v="4"/>
    <n v="1"/>
  </r>
  <r>
    <s v="Cleveland Cavaliers"/>
    <s v="2006-2007"/>
    <n v="50"/>
    <n v="32"/>
    <x v="0"/>
    <n v="3.33"/>
    <n v="2"/>
    <x v="3"/>
    <n v="2"/>
    <n v="2"/>
    <n v="1"/>
    <n v="3"/>
    <x v="3"/>
    <x v="3"/>
    <n v="2"/>
    <n v="3"/>
    <n v="2"/>
    <n v="2"/>
    <n v="2"/>
    <n v="2"/>
    <n v="1"/>
    <n v="1"/>
    <n v="1"/>
    <n v="1"/>
    <n v="2"/>
    <n v="2"/>
    <n v="1"/>
    <n v="2"/>
    <n v="2"/>
    <n v="1"/>
    <n v="1"/>
    <n v="4"/>
    <n v="3"/>
    <n v="1"/>
  </r>
  <r>
    <s v="Dallas Mavericks"/>
    <s v="2006-2007"/>
    <n v="67"/>
    <n v="15"/>
    <x v="0"/>
    <n v="7.28"/>
    <n v="3"/>
    <x v="0"/>
    <n v="3"/>
    <n v="2"/>
    <n v="3"/>
    <n v="2"/>
    <x v="0"/>
    <x v="3"/>
    <n v="1"/>
    <n v="2"/>
    <n v="3"/>
    <n v="2"/>
    <n v="3"/>
    <n v="3"/>
    <n v="1"/>
    <n v="1"/>
    <n v="1"/>
    <n v="1"/>
    <n v="3"/>
    <n v="3"/>
    <n v="1"/>
    <n v="1"/>
    <n v="1"/>
    <n v="2"/>
    <n v="1"/>
    <n v="3"/>
    <n v="3"/>
    <n v="1"/>
  </r>
  <r>
    <s v="Denver Nuggets"/>
    <s v="2006-2007"/>
    <n v="45"/>
    <n v="37"/>
    <x v="0"/>
    <n v="1.69"/>
    <n v="4"/>
    <x v="2"/>
    <n v="2"/>
    <n v="3"/>
    <n v="4"/>
    <n v="4"/>
    <x v="3"/>
    <x v="1"/>
    <n v="4"/>
    <n v="4"/>
    <n v="3"/>
    <n v="4"/>
    <n v="2"/>
    <n v="4"/>
    <n v="4"/>
    <n v="4"/>
    <n v="4"/>
    <n v="4"/>
    <n v="1"/>
    <n v="1"/>
    <n v="4"/>
    <n v="2"/>
    <n v="4"/>
    <n v="4"/>
    <n v="4"/>
    <n v="4"/>
    <n v="4"/>
    <n v="4"/>
  </r>
  <r>
    <s v="Detroit Pistons"/>
    <s v="2006-2007"/>
    <n v="53"/>
    <n v="29"/>
    <x v="0"/>
    <n v="3.68"/>
    <n v="2"/>
    <x v="0"/>
    <n v="2"/>
    <n v="2"/>
    <n v="2"/>
    <n v="2"/>
    <x v="1"/>
    <x v="2"/>
    <n v="3"/>
    <n v="2"/>
    <n v="4"/>
    <n v="1"/>
    <n v="1"/>
    <n v="2"/>
    <n v="1"/>
    <n v="1"/>
    <n v="1"/>
    <n v="1"/>
    <n v="2"/>
    <n v="2"/>
    <n v="4"/>
    <n v="2"/>
    <n v="2"/>
    <n v="1"/>
    <n v="1"/>
    <n v="3"/>
    <n v="1"/>
    <n v="1"/>
  </r>
  <r>
    <s v="Golden State Warriors"/>
    <s v="2006-2007"/>
    <n v="42"/>
    <n v="40"/>
    <x v="0"/>
    <n v="-0.01"/>
    <n v="4"/>
    <x v="2"/>
    <n v="4"/>
    <n v="4"/>
    <n v="2"/>
    <n v="3"/>
    <x v="1"/>
    <x v="0"/>
    <n v="4"/>
    <n v="4"/>
    <n v="4"/>
    <n v="4"/>
    <n v="4"/>
    <n v="4"/>
    <n v="4"/>
    <n v="4"/>
    <n v="4"/>
    <n v="4"/>
    <n v="4"/>
    <n v="4"/>
    <n v="4"/>
    <n v="4"/>
    <n v="4"/>
    <n v="4"/>
    <n v="3"/>
    <n v="4"/>
    <n v="3"/>
    <n v="4"/>
  </r>
  <r>
    <s v="Houston Rockets"/>
    <s v="2006-2007"/>
    <n v="52"/>
    <n v="30"/>
    <x v="0"/>
    <n v="5.04"/>
    <n v="1"/>
    <x v="0"/>
    <n v="4"/>
    <n v="4"/>
    <n v="1"/>
    <n v="1"/>
    <x v="0"/>
    <x v="1"/>
    <n v="2"/>
    <n v="2"/>
    <n v="1"/>
    <n v="2"/>
    <n v="2"/>
    <n v="2"/>
    <n v="1"/>
    <n v="2"/>
    <n v="2"/>
    <n v="2"/>
    <n v="2"/>
    <n v="2"/>
    <n v="1"/>
    <n v="4"/>
    <n v="1"/>
    <n v="2"/>
    <n v="1"/>
    <n v="2"/>
    <n v="1"/>
    <n v="1"/>
  </r>
  <r>
    <s v="Indiana Pacers"/>
    <s v="2006-2007"/>
    <n v="35"/>
    <n v="47"/>
    <x v="1"/>
    <n v="-2.62"/>
    <n v="1"/>
    <x v="3"/>
    <n v="2"/>
    <n v="2"/>
    <n v="3"/>
    <n v="3"/>
    <x v="1"/>
    <x v="0"/>
    <n v="2"/>
    <n v="3"/>
    <n v="4"/>
    <n v="4"/>
    <n v="4"/>
    <n v="1"/>
    <n v="2"/>
    <n v="1"/>
    <n v="1"/>
    <n v="1"/>
    <n v="4"/>
    <n v="4"/>
    <n v="2"/>
    <n v="3"/>
    <n v="2"/>
    <n v="4"/>
    <n v="3"/>
    <n v="4"/>
    <n v="4"/>
    <n v="2"/>
  </r>
  <r>
    <s v="Los Angeles Clippers"/>
    <s v="2006-2007"/>
    <n v="40"/>
    <n v="42"/>
    <x v="1"/>
    <n v="-0.08"/>
    <n v="1"/>
    <x v="1"/>
    <n v="1"/>
    <n v="1"/>
    <n v="4"/>
    <n v="4"/>
    <x v="0"/>
    <x v="3"/>
    <n v="3"/>
    <n v="3"/>
    <n v="4"/>
    <n v="3"/>
    <n v="3"/>
    <n v="2"/>
    <n v="2"/>
    <n v="2"/>
    <n v="1"/>
    <n v="2"/>
    <n v="3"/>
    <n v="3"/>
    <n v="1"/>
    <n v="1"/>
    <n v="2"/>
    <n v="2"/>
    <n v="1"/>
    <n v="2"/>
    <n v="3"/>
    <n v="2"/>
  </r>
  <r>
    <s v="Los Angeles Lakers"/>
    <s v="2006-2007"/>
    <n v="42"/>
    <n v="40"/>
    <x v="0"/>
    <n v="0.24"/>
    <n v="4"/>
    <x v="3"/>
    <n v="4"/>
    <n v="4"/>
    <n v="3"/>
    <n v="3"/>
    <x v="0"/>
    <x v="3"/>
    <n v="4"/>
    <n v="3"/>
    <n v="3"/>
    <n v="4"/>
    <n v="3"/>
    <n v="4"/>
    <n v="3"/>
    <n v="3"/>
    <n v="3"/>
    <n v="3"/>
    <n v="4"/>
    <n v="4"/>
    <n v="3"/>
    <n v="3"/>
    <n v="3"/>
    <n v="4"/>
    <n v="3"/>
    <n v="3"/>
    <n v="4"/>
    <n v="4"/>
  </r>
  <r>
    <s v="Memphis Grizzlies"/>
    <s v="2006-2007"/>
    <n v="22"/>
    <n v="60"/>
    <x v="1"/>
    <n v="-4.4400000000000004"/>
    <n v="3"/>
    <x v="0"/>
    <n v="2"/>
    <n v="2"/>
    <n v="4"/>
    <n v="4"/>
    <x v="0"/>
    <x v="2"/>
    <n v="2"/>
    <n v="2"/>
    <n v="3"/>
    <n v="4"/>
    <n v="3"/>
    <n v="4"/>
    <n v="4"/>
    <n v="4"/>
    <n v="4"/>
    <n v="3"/>
    <n v="3"/>
    <n v="3"/>
    <n v="3"/>
    <n v="3"/>
    <n v="4"/>
    <n v="4"/>
    <n v="4"/>
    <n v="4"/>
    <n v="4"/>
    <n v="4"/>
  </r>
  <r>
    <s v="Miami Heat"/>
    <s v="2006-2007"/>
    <n v="44"/>
    <n v="38"/>
    <x v="0"/>
    <n v="-1.21"/>
    <n v="1"/>
    <x v="1"/>
    <n v="3"/>
    <n v="3"/>
    <n v="1"/>
    <n v="2"/>
    <x v="2"/>
    <x v="3"/>
    <n v="2"/>
    <n v="2"/>
    <n v="4"/>
    <n v="3"/>
    <n v="2"/>
    <n v="1"/>
    <n v="2"/>
    <n v="2"/>
    <n v="3"/>
    <n v="3"/>
    <n v="2"/>
    <n v="2"/>
    <n v="2"/>
    <n v="2"/>
    <n v="2"/>
    <n v="1"/>
    <n v="1"/>
    <n v="3"/>
    <n v="2"/>
    <n v="2"/>
  </r>
  <r>
    <s v="Milwaukee Bucks"/>
    <s v="2006-2007"/>
    <n v="28"/>
    <n v="54"/>
    <x v="1"/>
    <n v="-4.4400000000000004"/>
    <n v="4"/>
    <x v="2"/>
    <n v="3"/>
    <n v="3"/>
    <n v="1"/>
    <n v="1"/>
    <x v="1"/>
    <x v="2"/>
    <n v="3"/>
    <n v="2"/>
    <n v="1"/>
    <n v="3"/>
    <n v="3"/>
    <n v="3"/>
    <n v="4"/>
    <n v="3"/>
    <n v="4"/>
    <n v="4"/>
    <n v="2"/>
    <n v="2"/>
    <n v="4"/>
    <n v="3"/>
    <n v="4"/>
    <n v="3"/>
    <n v="4"/>
    <n v="4"/>
    <n v="2"/>
    <n v="4"/>
  </r>
  <r>
    <s v="Minnesota Timberwolves"/>
    <s v="2006-2007"/>
    <n v="32"/>
    <n v="50"/>
    <x v="1"/>
    <n v="-3.16"/>
    <n v="3"/>
    <x v="0"/>
    <n v="1"/>
    <n v="1"/>
    <n v="2"/>
    <n v="1"/>
    <x v="2"/>
    <x v="3"/>
    <n v="4"/>
    <n v="1"/>
    <n v="1"/>
    <n v="4"/>
    <n v="2"/>
    <n v="2"/>
    <n v="3"/>
    <n v="3"/>
    <n v="3"/>
    <n v="3"/>
    <n v="2"/>
    <n v="2"/>
    <n v="3"/>
    <n v="2"/>
    <n v="3"/>
    <n v="2"/>
    <n v="2"/>
    <n v="2"/>
    <n v="1"/>
    <n v="3"/>
  </r>
  <r>
    <s v="New Jersey Nets"/>
    <s v="2006-2007"/>
    <n v="41"/>
    <n v="41"/>
    <x v="0"/>
    <n v="-1"/>
    <n v="1"/>
    <x v="1"/>
    <n v="4"/>
    <n v="4"/>
    <n v="2"/>
    <n v="3"/>
    <x v="2"/>
    <x v="3"/>
    <n v="4"/>
    <n v="1"/>
    <n v="1"/>
    <n v="3"/>
    <n v="3"/>
    <n v="2"/>
    <n v="2"/>
    <n v="2"/>
    <n v="3"/>
    <n v="3"/>
    <n v="4"/>
    <n v="4"/>
    <n v="1"/>
    <n v="3"/>
    <n v="3"/>
    <n v="2"/>
    <n v="2"/>
    <n v="3"/>
    <n v="3"/>
    <n v="2"/>
  </r>
  <r>
    <s v="New Orleans/Oklahoma City Hornets"/>
    <s v="2006-2007"/>
    <n v="39"/>
    <n v="43"/>
    <x v="1"/>
    <n v="-1.2"/>
    <n v="2"/>
    <x v="3"/>
    <n v="2"/>
    <n v="2"/>
    <n v="1"/>
    <n v="1"/>
    <x v="3"/>
    <x v="3"/>
    <n v="1"/>
    <n v="1"/>
    <n v="2"/>
    <n v="2"/>
    <n v="1"/>
    <n v="1"/>
    <n v="3"/>
    <n v="3"/>
    <n v="4"/>
    <n v="4"/>
    <n v="1"/>
    <n v="1"/>
    <n v="1"/>
    <n v="3"/>
    <n v="2"/>
    <n v="1"/>
    <n v="2"/>
    <n v="2"/>
    <n v="2"/>
    <n v="2"/>
  </r>
  <r>
    <s v="New York Knickerbockers"/>
    <s v="2006-2007"/>
    <n v="33"/>
    <n v="49"/>
    <x v="1"/>
    <n v="-3.06"/>
    <n v="1"/>
    <x v="1"/>
    <n v="2"/>
    <n v="2"/>
    <n v="4"/>
    <n v="4"/>
    <x v="3"/>
    <x v="3"/>
    <n v="1"/>
    <n v="1"/>
    <n v="1"/>
    <n v="4"/>
    <n v="4"/>
    <n v="2"/>
    <n v="3"/>
    <n v="3"/>
    <n v="4"/>
    <n v="4"/>
    <n v="3"/>
    <n v="3"/>
    <n v="2"/>
    <n v="1"/>
    <n v="3"/>
    <n v="3"/>
    <n v="3"/>
    <n v="2"/>
    <n v="3"/>
    <n v="3"/>
  </r>
  <r>
    <s v="Orlando Magic"/>
    <s v="2006-2007"/>
    <n v="40"/>
    <n v="42"/>
    <x v="0"/>
    <n v="0.34"/>
    <n v="1"/>
    <x v="1"/>
    <n v="1"/>
    <n v="1"/>
    <n v="3"/>
    <n v="4"/>
    <x v="0"/>
    <x v="0"/>
    <n v="1"/>
    <n v="2"/>
    <n v="3"/>
    <n v="4"/>
    <n v="4"/>
    <n v="1"/>
    <n v="1"/>
    <n v="1"/>
    <n v="2"/>
    <n v="2"/>
    <n v="4"/>
    <n v="4"/>
    <n v="1"/>
    <n v="1"/>
    <n v="1"/>
    <n v="4"/>
    <n v="2"/>
    <n v="3"/>
    <n v="4"/>
    <n v="1"/>
  </r>
  <r>
    <s v="Philadelphia 76ers"/>
    <s v="2006-2007"/>
    <n v="35"/>
    <n v="47"/>
    <x v="1"/>
    <n v="-3.26"/>
    <n v="2"/>
    <x v="1"/>
    <n v="1"/>
    <n v="1"/>
    <n v="3"/>
    <n v="3"/>
    <x v="0"/>
    <x v="2"/>
    <n v="2"/>
    <n v="2"/>
    <n v="2"/>
    <n v="4"/>
    <n v="1"/>
    <n v="1"/>
    <n v="3"/>
    <n v="3"/>
    <n v="3"/>
    <n v="3"/>
    <n v="1"/>
    <n v="1"/>
    <n v="3"/>
    <n v="2"/>
    <n v="4"/>
    <n v="3"/>
    <n v="1"/>
    <n v="4"/>
    <n v="3"/>
    <n v="2"/>
  </r>
  <r>
    <s v="Phoenix Suns"/>
    <s v="2006-2007"/>
    <n v="61"/>
    <n v="21"/>
    <x v="0"/>
    <n v="7.27"/>
    <n v="4"/>
    <x v="2"/>
    <n v="4"/>
    <n v="4"/>
    <n v="1"/>
    <n v="1"/>
    <x v="2"/>
    <x v="1"/>
    <n v="4"/>
    <n v="1"/>
    <n v="3"/>
    <n v="3"/>
    <n v="1"/>
    <n v="4"/>
    <n v="4"/>
    <n v="4"/>
    <n v="3"/>
    <n v="2"/>
    <n v="1"/>
    <n v="1"/>
    <n v="4"/>
    <n v="3"/>
    <n v="1"/>
    <n v="2"/>
    <n v="1"/>
    <n v="3"/>
    <n v="2"/>
    <n v="4"/>
  </r>
  <r>
    <s v="Portland Trail Blazers"/>
    <s v="2006-2007"/>
    <n v="32"/>
    <n v="50"/>
    <x v="1"/>
    <n v="-3.78"/>
    <n v="1"/>
    <x v="1"/>
    <n v="2"/>
    <n v="2"/>
    <n v="2"/>
    <n v="2"/>
    <x v="1"/>
    <x v="2"/>
    <n v="1"/>
    <n v="1"/>
    <n v="2"/>
    <n v="3"/>
    <n v="4"/>
    <n v="1"/>
    <n v="2"/>
    <n v="1"/>
    <n v="2"/>
    <n v="2"/>
    <n v="3"/>
    <n v="3"/>
    <n v="1"/>
    <n v="1"/>
    <n v="2"/>
    <n v="1"/>
    <n v="2"/>
    <n v="2"/>
    <n v="2"/>
    <n v="2"/>
  </r>
  <r>
    <s v="Sacramento Kings"/>
    <s v="2006-2007"/>
    <n v="33"/>
    <n v="49"/>
    <x v="1"/>
    <n v="-1.35"/>
    <n v="2"/>
    <x v="0"/>
    <n v="3"/>
    <n v="3"/>
    <n v="4"/>
    <n v="4"/>
    <x v="2"/>
    <x v="0"/>
    <n v="2"/>
    <n v="4"/>
    <n v="1"/>
    <n v="3"/>
    <n v="2"/>
    <n v="4"/>
    <n v="4"/>
    <n v="3"/>
    <n v="4"/>
    <n v="4"/>
    <n v="3"/>
    <n v="3"/>
    <n v="2"/>
    <n v="4"/>
    <n v="4"/>
    <n v="2"/>
    <n v="3"/>
    <n v="4"/>
    <n v="4"/>
    <n v="4"/>
  </r>
  <r>
    <s v="San Antonio Spurs"/>
    <s v="2006-2007"/>
    <n v="58"/>
    <n v="24"/>
    <x v="0"/>
    <n v="8.35"/>
    <n v="3"/>
    <x v="1"/>
    <n v="4"/>
    <n v="3"/>
    <n v="1"/>
    <n v="2"/>
    <x v="2"/>
    <x v="1"/>
    <n v="3"/>
    <n v="2"/>
    <n v="3"/>
    <n v="2"/>
    <n v="1"/>
    <n v="3"/>
    <n v="1"/>
    <n v="2"/>
    <n v="1"/>
    <n v="1"/>
    <n v="1"/>
    <n v="1"/>
    <n v="1"/>
    <n v="1"/>
    <n v="1"/>
    <n v="2"/>
    <n v="1"/>
    <n v="2"/>
    <n v="2"/>
    <n v="1"/>
  </r>
  <r>
    <s v="Seattle Supersonics"/>
    <s v="2006-2007"/>
    <n v="31"/>
    <n v="51"/>
    <x v="1"/>
    <n v="-2.4500000000000002"/>
    <n v="3"/>
    <x v="3"/>
    <n v="3"/>
    <n v="3"/>
    <n v="2"/>
    <n v="1"/>
    <x v="1"/>
    <x v="2"/>
    <n v="2"/>
    <n v="3"/>
    <n v="1"/>
    <n v="4"/>
    <n v="2"/>
    <n v="3"/>
    <n v="4"/>
    <n v="3"/>
    <n v="3"/>
    <n v="3"/>
    <n v="3"/>
    <n v="3"/>
    <n v="3"/>
    <n v="2"/>
    <n v="4"/>
    <n v="2"/>
    <n v="1"/>
    <n v="3"/>
    <n v="1"/>
    <n v="4"/>
  </r>
  <r>
    <s v="Toronto Raptors"/>
    <s v="2006-2007"/>
    <n v="47"/>
    <n v="35"/>
    <x v="0"/>
    <n v="0.61"/>
    <n v="3"/>
    <x v="0"/>
    <n v="3"/>
    <n v="3"/>
    <n v="2"/>
    <n v="2"/>
    <x v="2"/>
    <x v="3"/>
    <n v="4"/>
    <n v="2"/>
    <n v="1"/>
    <n v="1"/>
    <n v="1"/>
    <n v="3"/>
    <n v="3"/>
    <n v="3"/>
    <n v="3"/>
    <n v="3"/>
    <n v="1"/>
    <n v="1"/>
    <n v="1"/>
    <n v="4"/>
    <n v="3"/>
    <n v="1"/>
    <n v="1"/>
    <n v="3"/>
    <n v="2"/>
    <n v="2"/>
  </r>
  <r>
    <s v="Utah Jazz"/>
    <s v="2006-2007"/>
    <n v="51"/>
    <n v="31"/>
    <x v="0"/>
    <n v="3.06"/>
    <n v="4"/>
    <x v="0"/>
    <n v="1"/>
    <n v="1"/>
    <n v="4"/>
    <n v="4"/>
    <x v="3"/>
    <x v="0"/>
    <n v="4"/>
    <n v="2"/>
    <n v="1"/>
    <n v="4"/>
    <n v="4"/>
    <n v="4"/>
    <n v="1"/>
    <n v="1"/>
    <n v="3"/>
    <n v="3"/>
    <n v="4"/>
    <n v="4"/>
    <n v="1"/>
    <n v="1"/>
    <n v="1"/>
    <n v="3"/>
    <n v="4"/>
    <n v="3"/>
    <n v="4"/>
    <n v="2"/>
  </r>
  <r>
    <s v="Washington Wizards"/>
    <s v="2006-2007"/>
    <n v="41"/>
    <n v="41"/>
    <x v="0"/>
    <n v="-0.8"/>
    <n v="4"/>
    <x v="2"/>
    <n v="3"/>
    <n v="4"/>
    <n v="4"/>
    <n v="4"/>
    <x v="3"/>
    <x v="2"/>
    <n v="2"/>
    <n v="4"/>
    <n v="2"/>
    <n v="2"/>
    <n v="3"/>
    <n v="4"/>
    <n v="4"/>
    <n v="3"/>
    <n v="4"/>
    <n v="4"/>
    <n v="3"/>
    <n v="3"/>
    <n v="4"/>
    <n v="4"/>
    <n v="4"/>
    <n v="1"/>
    <n v="2"/>
    <n v="4"/>
    <n v="4"/>
    <n v="4"/>
  </r>
  <r>
    <s v="Atlanta Hawks"/>
    <s v="2005-2006"/>
    <n v="26"/>
    <n v="56"/>
    <x v="1"/>
    <n v="-4.6900000000000004"/>
    <n v="2"/>
    <x v="0"/>
    <n v="2"/>
    <n v="1"/>
    <n v="3"/>
    <n v="3"/>
    <x v="3"/>
    <x v="2"/>
    <n v="1"/>
    <n v="2"/>
    <n v="3"/>
    <n v="4"/>
    <n v="4"/>
    <n v="2"/>
    <n v="3"/>
    <n v="2"/>
    <n v="1"/>
    <n v="1"/>
    <n v="4"/>
    <n v="4"/>
    <n v="4"/>
    <n v="1"/>
    <n v="2"/>
    <n v="2"/>
    <n v="4"/>
    <n v="3"/>
    <n v="3"/>
    <n v="4"/>
  </r>
  <r>
    <s v="Boston Celtics"/>
    <s v="2005-2006"/>
    <n v="33"/>
    <n v="49"/>
    <x v="1"/>
    <n v="-1.59"/>
    <n v="2"/>
    <x v="1"/>
    <n v="2"/>
    <n v="2"/>
    <n v="3"/>
    <n v="3"/>
    <x v="2"/>
    <x v="0"/>
    <n v="2"/>
    <n v="2"/>
    <n v="3"/>
    <n v="4"/>
    <n v="4"/>
    <n v="3"/>
    <n v="2"/>
    <n v="2"/>
    <n v="1"/>
    <n v="1"/>
    <n v="4"/>
    <n v="4"/>
    <n v="2"/>
    <n v="1"/>
    <n v="3"/>
    <n v="4"/>
    <n v="3"/>
    <n v="3"/>
    <n v="3"/>
    <n v="3"/>
  </r>
  <r>
    <s v="Charlotte Bobcats"/>
    <s v="2005-2006"/>
    <n v="26"/>
    <n v="56"/>
    <x v="1"/>
    <n v="-3.9"/>
    <n v="2"/>
    <x v="2"/>
    <n v="2"/>
    <n v="2"/>
    <n v="3"/>
    <n v="3"/>
    <x v="1"/>
    <x v="2"/>
    <n v="2"/>
    <n v="4"/>
    <n v="2"/>
    <n v="2"/>
    <n v="4"/>
    <n v="2"/>
    <n v="3"/>
    <n v="1"/>
    <n v="1"/>
    <n v="1"/>
    <n v="3"/>
    <n v="4"/>
    <n v="3"/>
    <n v="4"/>
    <n v="4"/>
    <n v="2"/>
    <n v="4"/>
    <n v="4"/>
    <n v="4"/>
    <n v="3"/>
  </r>
  <r>
    <s v="Chicago Bulls"/>
    <s v="2005-2006"/>
    <n v="41"/>
    <n v="41"/>
    <x v="0"/>
    <n v="0.51"/>
    <n v="3"/>
    <x v="2"/>
    <n v="3"/>
    <n v="3"/>
    <n v="1"/>
    <n v="1"/>
    <x v="0"/>
    <x v="1"/>
    <n v="3"/>
    <n v="1"/>
    <n v="2"/>
    <n v="3"/>
    <n v="4"/>
    <n v="2"/>
    <n v="1"/>
    <n v="2"/>
    <n v="3"/>
    <n v="3"/>
    <n v="4"/>
    <n v="4"/>
    <n v="2"/>
    <n v="4"/>
    <n v="2"/>
    <n v="3"/>
    <n v="3"/>
    <n v="3"/>
    <n v="3"/>
    <n v="2"/>
  </r>
  <r>
    <s v="Cleveland Cavaliers"/>
    <s v="2005-2006"/>
    <n v="50"/>
    <n v="32"/>
    <x v="0"/>
    <n v="2.17"/>
    <n v="1"/>
    <x v="1"/>
    <n v="2"/>
    <n v="3"/>
    <n v="4"/>
    <n v="4"/>
    <x v="1"/>
    <x v="3"/>
    <n v="1"/>
    <n v="2"/>
    <n v="3"/>
    <n v="2"/>
    <n v="2"/>
    <n v="2"/>
    <n v="2"/>
    <n v="2"/>
    <n v="2"/>
    <n v="1"/>
    <n v="1"/>
    <n v="2"/>
    <n v="1"/>
    <n v="2"/>
    <n v="2"/>
    <n v="1"/>
    <n v="2"/>
    <n v="1"/>
    <n v="3"/>
    <n v="2"/>
  </r>
  <r>
    <s v="Dallas Mavericks"/>
    <s v="2005-2006"/>
    <n v="60"/>
    <n v="22"/>
    <x v="0"/>
    <n v="5.96"/>
    <n v="2"/>
    <x v="1"/>
    <n v="1"/>
    <n v="1"/>
    <n v="4"/>
    <n v="4"/>
    <x v="3"/>
    <x v="0"/>
    <n v="1"/>
    <n v="3"/>
    <n v="4"/>
    <n v="1"/>
    <n v="3"/>
    <n v="3"/>
    <n v="1"/>
    <n v="1"/>
    <n v="1"/>
    <n v="1"/>
    <n v="3"/>
    <n v="3"/>
    <n v="3"/>
    <n v="1"/>
    <n v="1"/>
    <n v="1"/>
    <n v="3"/>
    <n v="2"/>
    <n v="4"/>
    <n v="1"/>
  </r>
  <r>
    <s v="Denver Nuggets"/>
    <s v="2005-2006"/>
    <n v="44"/>
    <n v="38"/>
    <x v="0"/>
    <n v="0.36"/>
    <n v="4"/>
    <x v="3"/>
    <n v="1"/>
    <n v="1"/>
    <n v="4"/>
    <n v="4"/>
    <x v="0"/>
    <x v="3"/>
    <n v="4"/>
    <n v="4"/>
    <n v="4"/>
    <n v="3"/>
    <n v="3"/>
    <n v="3"/>
    <n v="3"/>
    <n v="4"/>
    <n v="3"/>
    <n v="3"/>
    <n v="2"/>
    <n v="2"/>
    <n v="3"/>
    <n v="3"/>
    <n v="4"/>
    <n v="2"/>
    <n v="4"/>
    <n v="4"/>
    <n v="4"/>
    <n v="3"/>
  </r>
  <r>
    <s v="Detroit Pistons"/>
    <s v="2005-2006"/>
    <n v="64"/>
    <n v="18"/>
    <x v="0"/>
    <n v="6.23"/>
    <n v="2"/>
    <x v="0"/>
    <n v="3"/>
    <n v="3"/>
    <n v="1"/>
    <n v="1"/>
    <x v="1"/>
    <x v="2"/>
    <n v="4"/>
    <n v="2"/>
    <n v="4"/>
    <n v="1"/>
    <n v="1"/>
    <n v="2"/>
    <n v="2"/>
    <n v="2"/>
    <n v="1"/>
    <n v="1"/>
    <n v="1"/>
    <n v="1"/>
    <n v="3"/>
    <n v="2"/>
    <n v="1"/>
    <n v="1"/>
    <n v="1"/>
    <n v="2"/>
    <n v="2"/>
    <n v="1"/>
  </r>
  <r>
    <s v="Golden State Warriors"/>
    <s v="2005-2006"/>
    <n v="34"/>
    <n v="48"/>
    <x v="1"/>
    <n v="-1.1100000000000001"/>
    <n v="2"/>
    <x v="2"/>
    <n v="4"/>
    <n v="4"/>
    <n v="3"/>
    <n v="3"/>
    <x v="1"/>
    <x v="3"/>
    <n v="2"/>
    <n v="3"/>
    <n v="2"/>
    <n v="2"/>
    <n v="4"/>
    <n v="3"/>
    <n v="3"/>
    <n v="3"/>
    <n v="2"/>
    <n v="2"/>
    <n v="3"/>
    <n v="3"/>
    <n v="4"/>
    <n v="4"/>
    <n v="4"/>
    <n v="2"/>
    <n v="3"/>
    <n v="4"/>
    <n v="4"/>
    <n v="3"/>
  </r>
  <r>
    <s v="Houston Rockets"/>
    <s v="2005-2006"/>
    <n v="34"/>
    <n v="48"/>
    <x v="1"/>
    <n v="-1.31"/>
    <n v="1"/>
    <x v="1"/>
    <n v="2"/>
    <n v="3"/>
    <n v="2"/>
    <n v="2"/>
    <x v="2"/>
    <x v="1"/>
    <n v="1"/>
    <n v="2"/>
    <n v="1"/>
    <n v="3"/>
    <n v="3"/>
    <n v="1"/>
    <n v="1"/>
    <n v="1"/>
    <n v="3"/>
    <n v="3"/>
    <n v="2"/>
    <n v="3"/>
    <n v="2"/>
    <n v="3"/>
    <n v="2"/>
    <n v="2"/>
    <n v="2"/>
    <n v="1"/>
    <n v="2"/>
    <n v="1"/>
  </r>
  <r>
    <s v="Indiana Pacers"/>
    <s v="2005-2006"/>
    <n v="41"/>
    <n v="41"/>
    <x v="0"/>
    <n v="1.62"/>
    <n v="1"/>
    <x v="1"/>
    <n v="3"/>
    <n v="3"/>
    <n v="3"/>
    <n v="3"/>
    <x v="0"/>
    <x v="1"/>
    <n v="1"/>
    <n v="3"/>
    <n v="3"/>
    <n v="4"/>
    <n v="3"/>
    <n v="1"/>
    <n v="1"/>
    <n v="2"/>
    <n v="1"/>
    <n v="1"/>
    <n v="2"/>
    <n v="2"/>
    <n v="3"/>
    <n v="2"/>
    <n v="1"/>
    <n v="4"/>
    <n v="3"/>
    <n v="1"/>
    <n v="3"/>
    <n v="1"/>
  </r>
  <r>
    <s v="Los Angeles Clippers"/>
    <s v="2005-2006"/>
    <n v="47"/>
    <n v="35"/>
    <x v="0"/>
    <n v="1.75"/>
    <n v="3"/>
    <x v="0"/>
    <n v="1"/>
    <n v="1"/>
    <n v="4"/>
    <n v="3"/>
    <x v="2"/>
    <x v="1"/>
    <n v="2"/>
    <n v="1"/>
    <n v="4"/>
    <n v="2"/>
    <n v="3"/>
    <n v="2"/>
    <n v="2"/>
    <n v="3"/>
    <n v="2"/>
    <n v="2"/>
    <n v="3"/>
    <n v="3"/>
    <n v="1"/>
    <n v="2"/>
    <n v="3"/>
    <n v="2"/>
    <n v="2"/>
    <n v="1"/>
    <n v="2"/>
    <n v="2"/>
  </r>
  <r>
    <s v="Los Angeles Lakers"/>
    <s v="2005-2006"/>
    <n v="45"/>
    <n v="37"/>
    <x v="0"/>
    <n v="2.5299999999999998"/>
    <n v="3"/>
    <x v="3"/>
    <n v="3"/>
    <n v="4"/>
    <n v="3"/>
    <n v="3"/>
    <x v="1"/>
    <x v="3"/>
    <n v="3"/>
    <n v="3"/>
    <n v="2"/>
    <n v="2"/>
    <n v="3"/>
    <n v="3"/>
    <n v="2"/>
    <n v="2"/>
    <n v="2"/>
    <n v="2"/>
    <n v="2"/>
    <n v="3"/>
    <n v="2"/>
    <n v="2"/>
    <n v="2"/>
    <n v="1"/>
    <n v="1"/>
    <n v="2"/>
    <n v="4"/>
    <n v="2"/>
  </r>
  <r>
    <s v="Memphis Grizzlies"/>
    <s v="2005-2006"/>
    <n v="49"/>
    <n v="33"/>
    <x v="0"/>
    <n v="3.74"/>
    <n v="1"/>
    <x v="1"/>
    <n v="4"/>
    <n v="3"/>
    <n v="1"/>
    <n v="2"/>
    <x v="2"/>
    <x v="2"/>
    <n v="1"/>
    <n v="3"/>
    <n v="4"/>
    <n v="2"/>
    <n v="2"/>
    <n v="1"/>
    <n v="1"/>
    <n v="1"/>
    <n v="1"/>
    <n v="1"/>
    <n v="1"/>
    <n v="1"/>
    <n v="3"/>
    <n v="2"/>
    <n v="1"/>
    <n v="2"/>
    <n v="4"/>
    <n v="3"/>
    <n v="3"/>
    <n v="1"/>
  </r>
  <r>
    <s v="Miami Heat"/>
    <s v="2005-2006"/>
    <n v="52"/>
    <n v="30"/>
    <x v="0"/>
    <n v="3.59"/>
    <n v="3"/>
    <x v="1"/>
    <n v="2"/>
    <n v="3"/>
    <n v="3"/>
    <n v="4"/>
    <x v="2"/>
    <x v="1"/>
    <n v="2"/>
    <n v="1"/>
    <n v="4"/>
    <n v="2"/>
    <n v="3"/>
    <n v="3"/>
    <n v="1"/>
    <n v="2"/>
    <n v="2"/>
    <n v="2"/>
    <n v="3"/>
    <n v="3"/>
    <n v="1"/>
    <n v="1"/>
    <n v="1"/>
    <n v="1"/>
    <n v="1"/>
    <n v="1"/>
    <n v="4"/>
    <n v="2"/>
  </r>
  <r>
    <s v="Milwaukee Bucks"/>
    <s v="2005-2006"/>
    <n v="40"/>
    <n v="42"/>
    <x v="0"/>
    <n v="-1.07"/>
    <n v="2"/>
    <x v="3"/>
    <n v="3"/>
    <n v="2"/>
    <n v="2"/>
    <n v="3"/>
    <x v="1"/>
    <x v="0"/>
    <n v="3"/>
    <n v="3"/>
    <n v="1"/>
    <n v="3"/>
    <n v="4"/>
    <n v="2"/>
    <n v="2"/>
    <n v="1"/>
    <n v="2"/>
    <n v="2"/>
    <n v="3"/>
    <n v="3"/>
    <n v="1"/>
    <n v="3"/>
    <n v="4"/>
    <n v="3"/>
    <n v="3"/>
    <n v="3"/>
    <n v="4"/>
    <n v="2"/>
  </r>
  <r>
    <s v="Minnesota Timberwolves"/>
    <s v="2005-2006"/>
    <n v="33"/>
    <n v="49"/>
    <x v="1"/>
    <n v="-1.75"/>
    <n v="1"/>
    <x v="1"/>
    <n v="1"/>
    <n v="1"/>
    <n v="1"/>
    <n v="1"/>
    <x v="2"/>
    <x v="0"/>
    <n v="2"/>
    <n v="2"/>
    <n v="4"/>
    <n v="3"/>
    <n v="3"/>
    <n v="1"/>
    <n v="1"/>
    <n v="2"/>
    <n v="1"/>
    <n v="1"/>
    <n v="2"/>
    <n v="2"/>
    <n v="4"/>
    <n v="2"/>
    <n v="1"/>
    <n v="1"/>
    <n v="2"/>
    <n v="2"/>
    <n v="2"/>
    <n v="1"/>
  </r>
  <r>
    <s v="New Jersey Nets"/>
    <s v="2005-2006"/>
    <n v="49"/>
    <n v="33"/>
    <x v="0"/>
    <n v="1.1100000000000001"/>
    <n v="1"/>
    <x v="1"/>
    <n v="2"/>
    <n v="3"/>
    <n v="3"/>
    <n v="3"/>
    <x v="2"/>
    <x v="3"/>
    <n v="4"/>
    <n v="2"/>
    <n v="1"/>
    <n v="1"/>
    <n v="4"/>
    <n v="1"/>
    <n v="1"/>
    <n v="1"/>
    <n v="2"/>
    <n v="2"/>
    <n v="3"/>
    <n v="3"/>
    <n v="1"/>
    <n v="4"/>
    <n v="2"/>
    <n v="2"/>
    <n v="1"/>
    <n v="2"/>
    <n v="3"/>
    <n v="1"/>
  </r>
  <r>
    <s v="New Orleans/Oklahoma City Hornets"/>
    <s v="2005-2006"/>
    <n v="38"/>
    <n v="44"/>
    <x v="1"/>
    <n v="-2.5099999999999998"/>
    <n v="1"/>
    <x v="0"/>
    <n v="1"/>
    <n v="1"/>
    <n v="3"/>
    <n v="3"/>
    <x v="0"/>
    <x v="2"/>
    <n v="1"/>
    <n v="3"/>
    <n v="1"/>
    <n v="1"/>
    <n v="2"/>
    <n v="1"/>
    <n v="2"/>
    <n v="1"/>
    <n v="3"/>
    <n v="3"/>
    <n v="2"/>
    <n v="2"/>
    <n v="1"/>
    <n v="3"/>
    <n v="1"/>
    <n v="1"/>
    <n v="4"/>
    <n v="3"/>
    <n v="4"/>
    <n v="2"/>
  </r>
  <r>
    <s v="New York Knickerbockers"/>
    <s v="2005-2006"/>
    <n v="23"/>
    <n v="59"/>
    <x v="1"/>
    <n v="-6.3"/>
    <n v="1"/>
    <x v="1"/>
    <n v="1"/>
    <n v="1"/>
    <n v="4"/>
    <n v="4"/>
    <x v="3"/>
    <x v="2"/>
    <n v="1"/>
    <n v="1"/>
    <n v="1"/>
    <n v="4"/>
    <n v="4"/>
    <n v="1"/>
    <n v="2"/>
    <n v="1"/>
    <n v="4"/>
    <n v="3"/>
    <n v="4"/>
    <n v="4"/>
    <n v="2"/>
    <n v="1"/>
    <n v="3"/>
    <n v="4"/>
    <n v="4"/>
    <n v="2"/>
    <n v="4"/>
    <n v="4"/>
  </r>
  <r>
    <s v="Orlando Magic"/>
    <s v="2005-2006"/>
    <n v="36"/>
    <n v="46"/>
    <x v="1"/>
    <n v="-1.26"/>
    <n v="1"/>
    <x v="1"/>
    <n v="1"/>
    <n v="1"/>
    <n v="3"/>
    <n v="4"/>
    <x v="0"/>
    <x v="0"/>
    <n v="1"/>
    <n v="1"/>
    <n v="2"/>
    <n v="3"/>
    <n v="4"/>
    <n v="1"/>
    <n v="1"/>
    <n v="1"/>
    <n v="2"/>
    <n v="1"/>
    <n v="3"/>
    <n v="4"/>
    <n v="2"/>
    <n v="1"/>
    <n v="2"/>
    <n v="3"/>
    <n v="2"/>
    <n v="1"/>
    <n v="4"/>
    <n v="2"/>
  </r>
  <r>
    <s v="Philadelphia 76ers"/>
    <s v="2005-2006"/>
    <n v="38"/>
    <n v="44"/>
    <x v="1"/>
    <n v="-2.11"/>
    <n v="3"/>
    <x v="0"/>
    <n v="1"/>
    <n v="1"/>
    <n v="4"/>
    <n v="4"/>
    <x v="0"/>
    <x v="0"/>
    <n v="2"/>
    <n v="4"/>
    <n v="3"/>
    <n v="2"/>
    <n v="2"/>
    <n v="3"/>
    <n v="3"/>
    <n v="3"/>
    <n v="2"/>
    <n v="3"/>
    <n v="3"/>
    <n v="3"/>
    <n v="4"/>
    <n v="3"/>
    <n v="4"/>
    <n v="3"/>
    <n v="2"/>
    <n v="4"/>
    <n v="3"/>
    <n v="3"/>
  </r>
  <r>
    <s v="Phoenix Suns"/>
    <s v="2005-2006"/>
    <n v="54"/>
    <n v="28"/>
    <x v="0"/>
    <n v="5.48"/>
    <n v="4"/>
    <x v="2"/>
    <n v="4"/>
    <n v="4"/>
    <n v="1"/>
    <n v="1"/>
    <x v="2"/>
    <x v="1"/>
    <n v="4"/>
    <n v="1"/>
    <n v="3"/>
    <n v="1"/>
    <n v="1"/>
    <n v="4"/>
    <n v="4"/>
    <n v="4"/>
    <n v="3"/>
    <n v="3"/>
    <n v="1"/>
    <n v="2"/>
    <n v="4"/>
    <n v="4"/>
    <n v="1"/>
    <n v="2"/>
    <n v="1"/>
    <n v="3"/>
    <n v="1"/>
    <n v="4"/>
  </r>
  <r>
    <s v="Portland Trail Blazers"/>
    <s v="2005-2006"/>
    <n v="21"/>
    <n v="61"/>
    <x v="1"/>
    <n v="-8.91"/>
    <n v="1"/>
    <x v="1"/>
    <n v="1"/>
    <n v="1"/>
    <n v="1"/>
    <n v="1"/>
    <x v="0"/>
    <x v="2"/>
    <n v="1"/>
    <n v="1"/>
    <n v="3"/>
    <n v="3"/>
    <n v="3"/>
    <n v="1"/>
    <n v="3"/>
    <n v="2"/>
    <n v="2"/>
    <n v="2"/>
    <n v="2"/>
    <n v="2"/>
    <n v="4"/>
    <n v="2"/>
    <n v="2"/>
    <n v="2"/>
    <n v="3"/>
    <n v="1"/>
    <n v="1"/>
    <n v="2"/>
  </r>
  <r>
    <s v="Sacramento Kings"/>
    <s v="2005-2006"/>
    <n v="44"/>
    <n v="38"/>
    <x v="0"/>
    <n v="1.61"/>
    <n v="2"/>
    <x v="0"/>
    <n v="2"/>
    <n v="2"/>
    <n v="4"/>
    <n v="3"/>
    <x v="2"/>
    <x v="3"/>
    <n v="4"/>
    <n v="3"/>
    <n v="1"/>
    <n v="3"/>
    <n v="1"/>
    <n v="3"/>
    <n v="3"/>
    <n v="3"/>
    <n v="2"/>
    <n v="2"/>
    <n v="1"/>
    <n v="1"/>
    <n v="3"/>
    <n v="3"/>
    <n v="2"/>
    <n v="4"/>
    <n v="3"/>
    <n v="3"/>
    <n v="3"/>
    <n v="2"/>
  </r>
  <r>
    <s v="San Antonio Spurs"/>
    <s v="2005-2006"/>
    <n v="63"/>
    <n v="19"/>
    <x v="0"/>
    <n v="6.69"/>
    <n v="3"/>
    <x v="1"/>
    <n v="3"/>
    <n v="2"/>
    <n v="1"/>
    <n v="1"/>
    <x v="2"/>
    <x v="1"/>
    <n v="2"/>
    <n v="1"/>
    <n v="4"/>
    <n v="1"/>
    <n v="2"/>
    <n v="1"/>
    <n v="1"/>
    <n v="2"/>
    <n v="1"/>
    <n v="1"/>
    <n v="1"/>
    <n v="1"/>
    <n v="2"/>
    <n v="2"/>
    <n v="1"/>
    <n v="2"/>
    <n v="1"/>
    <n v="2"/>
    <n v="2"/>
    <n v="1"/>
  </r>
  <r>
    <s v="Seattle Supersonics"/>
    <s v="2005-2006"/>
    <n v="35"/>
    <n v="47"/>
    <x v="1"/>
    <n v="-2.88"/>
    <n v="4"/>
    <x v="2"/>
    <n v="4"/>
    <n v="4"/>
    <n v="3"/>
    <n v="3"/>
    <x v="3"/>
    <x v="2"/>
    <n v="2"/>
    <n v="3"/>
    <n v="1"/>
    <n v="3"/>
    <n v="4"/>
    <n v="4"/>
    <n v="4"/>
    <n v="3"/>
    <n v="3"/>
    <n v="3"/>
    <n v="4"/>
    <n v="4"/>
    <n v="4"/>
    <n v="1"/>
    <n v="4"/>
    <n v="2"/>
    <n v="3"/>
    <n v="3"/>
    <n v="3"/>
    <n v="4"/>
  </r>
  <r>
    <s v="Toronto Raptors"/>
    <s v="2005-2006"/>
    <n v="27"/>
    <n v="55"/>
    <x v="1"/>
    <n v="-3.03"/>
    <n v="3"/>
    <x v="3"/>
    <n v="4"/>
    <n v="4"/>
    <n v="3"/>
    <n v="2"/>
    <x v="2"/>
    <x v="2"/>
    <n v="1"/>
    <n v="1"/>
    <n v="1"/>
    <n v="1"/>
    <n v="4"/>
    <n v="4"/>
    <n v="4"/>
    <n v="2"/>
    <n v="3"/>
    <n v="2"/>
    <n v="3"/>
    <n v="4"/>
    <n v="1"/>
    <n v="4"/>
    <n v="4"/>
    <n v="1"/>
    <n v="2"/>
    <n v="2"/>
    <n v="3"/>
    <n v="4"/>
  </r>
  <r>
    <s v="Utah Jazz"/>
    <s v="2005-2006"/>
    <n v="41"/>
    <n v="41"/>
    <x v="1"/>
    <n v="-2.4900000000000002"/>
    <n v="1"/>
    <x v="1"/>
    <n v="1"/>
    <n v="1"/>
    <n v="4"/>
    <n v="4"/>
    <x v="3"/>
    <x v="0"/>
    <n v="3"/>
    <n v="1"/>
    <n v="4"/>
    <n v="4"/>
    <n v="4"/>
    <n v="1"/>
    <n v="1"/>
    <n v="1"/>
    <n v="2"/>
    <n v="2"/>
    <n v="4"/>
    <n v="4"/>
    <n v="1"/>
    <n v="1"/>
    <n v="1"/>
    <n v="4"/>
    <n v="4"/>
    <n v="2"/>
    <n v="4"/>
    <n v="1"/>
  </r>
  <r>
    <s v="Washington Wizards"/>
    <s v="2005-2006"/>
    <n v="42"/>
    <n v="40"/>
    <x v="0"/>
    <n v="1.56"/>
    <n v="2"/>
    <x v="3"/>
    <n v="2"/>
    <n v="2"/>
    <n v="4"/>
    <n v="4"/>
    <x v="3"/>
    <x v="2"/>
    <n v="1"/>
    <n v="4"/>
    <n v="1"/>
    <n v="2"/>
    <n v="3"/>
    <n v="4"/>
    <n v="3"/>
    <n v="2"/>
    <n v="3"/>
    <n v="2"/>
    <n v="3"/>
    <n v="3"/>
    <n v="3"/>
    <n v="3"/>
    <n v="3"/>
    <n v="1"/>
    <n v="1"/>
    <n v="4"/>
    <n v="4"/>
    <n v="3"/>
  </r>
  <r>
    <s v="Atlanta Hawks"/>
    <s v="2004-2005"/>
    <n v="13"/>
    <n v="69"/>
    <x v="1"/>
    <n v="-9.6199999999999992"/>
    <n v="2"/>
    <x v="3"/>
    <n v="1"/>
    <n v="1"/>
    <n v="1"/>
    <n v="2"/>
    <x v="3"/>
    <x v="2"/>
    <n v="1"/>
    <n v="3"/>
    <n v="2"/>
    <n v="4"/>
    <n v="4"/>
    <n v="1"/>
    <n v="3"/>
    <n v="1"/>
    <n v="2"/>
    <n v="1"/>
    <n v="4"/>
    <n v="4"/>
    <n v="2"/>
    <n v="3"/>
    <n v="3"/>
    <n v="4"/>
    <n v="4"/>
    <n v="3"/>
    <n v="2"/>
    <n v="4"/>
  </r>
  <r>
    <s v="Boston Celtics"/>
    <s v="2004-2005"/>
    <n v="45"/>
    <n v="37"/>
    <x v="0"/>
    <n v="0.34"/>
    <n v="3"/>
    <x v="0"/>
    <n v="2"/>
    <n v="2"/>
    <n v="4"/>
    <n v="4"/>
    <x v="0"/>
    <x v="0"/>
    <n v="3"/>
    <n v="4"/>
    <n v="3"/>
    <n v="4"/>
    <n v="4"/>
    <n v="4"/>
    <n v="2"/>
    <n v="3"/>
    <n v="2"/>
    <n v="2"/>
    <n v="4"/>
    <n v="4"/>
    <n v="4"/>
    <n v="2"/>
    <n v="4"/>
    <n v="4"/>
    <n v="3"/>
    <n v="4"/>
    <n v="4"/>
    <n v="3"/>
  </r>
  <r>
    <s v="Charlotte Bobcats"/>
    <s v="2004-2005"/>
    <n v="18"/>
    <n v="64"/>
    <x v="1"/>
    <n v="-6.16"/>
    <n v="2"/>
    <x v="2"/>
    <n v="1"/>
    <n v="1"/>
    <n v="1"/>
    <n v="3"/>
    <x v="3"/>
    <x v="2"/>
    <n v="3"/>
    <n v="4"/>
    <n v="4"/>
    <n v="3"/>
    <n v="3"/>
    <n v="1"/>
    <n v="3"/>
    <n v="2"/>
    <n v="1"/>
    <n v="1"/>
    <n v="4"/>
    <n v="4"/>
    <n v="3"/>
    <n v="4"/>
    <n v="3"/>
    <n v="3"/>
    <n v="4"/>
    <n v="4"/>
    <n v="3"/>
    <n v="3"/>
  </r>
  <r>
    <s v="Chicago Bulls"/>
    <s v="2004-2005"/>
    <n v="47"/>
    <n v="35"/>
    <x v="0"/>
    <n v="0.65"/>
    <n v="1"/>
    <x v="3"/>
    <n v="3"/>
    <n v="3"/>
    <n v="2"/>
    <n v="2"/>
    <x v="3"/>
    <x v="1"/>
    <n v="3"/>
    <n v="2"/>
    <n v="2"/>
    <n v="4"/>
    <n v="4"/>
    <n v="1"/>
    <n v="1"/>
    <n v="2"/>
    <n v="1"/>
    <n v="1"/>
    <n v="4"/>
    <n v="4"/>
    <n v="4"/>
    <n v="3"/>
    <n v="2"/>
    <n v="4"/>
    <n v="4"/>
    <n v="4"/>
    <n v="4"/>
    <n v="1"/>
  </r>
  <r>
    <s v="Cleveland Cavaliers"/>
    <s v="2004-2005"/>
    <n v="42"/>
    <n v="40"/>
    <x v="1"/>
    <n v="0.27"/>
    <n v="3"/>
    <x v="3"/>
    <n v="1"/>
    <n v="1"/>
    <n v="3"/>
    <n v="3"/>
    <x v="3"/>
    <x v="2"/>
    <n v="4"/>
    <n v="4"/>
    <n v="4"/>
    <n v="2"/>
    <n v="3"/>
    <n v="2"/>
    <n v="2"/>
    <n v="2"/>
    <n v="1"/>
    <n v="1"/>
    <n v="3"/>
    <n v="3"/>
    <n v="3"/>
    <n v="1"/>
    <n v="2"/>
    <n v="1"/>
    <n v="3"/>
    <n v="3"/>
    <n v="2"/>
    <n v="2"/>
  </r>
  <r>
    <s v="Dallas Mavericks"/>
    <s v="2004-2005"/>
    <n v="58"/>
    <n v="24"/>
    <x v="0"/>
    <n v="5.85"/>
    <n v="4"/>
    <x v="3"/>
    <n v="2"/>
    <n v="2"/>
    <n v="4"/>
    <n v="4"/>
    <x v="1"/>
    <x v="3"/>
    <n v="1"/>
    <n v="4"/>
    <n v="4"/>
    <n v="1"/>
    <n v="3"/>
    <n v="4"/>
    <n v="2"/>
    <n v="3"/>
    <n v="1"/>
    <n v="2"/>
    <n v="3"/>
    <n v="3"/>
    <n v="4"/>
    <n v="2"/>
    <n v="2"/>
    <n v="2"/>
    <n v="3"/>
    <n v="4"/>
    <n v="4"/>
    <n v="2"/>
  </r>
  <r>
    <s v="Denver Nuggets"/>
    <s v="2004-2005"/>
    <n v="49"/>
    <n v="33"/>
    <x v="0"/>
    <n v="2.2200000000000002"/>
    <n v="3"/>
    <x v="3"/>
    <n v="1"/>
    <n v="1"/>
    <n v="4"/>
    <n v="4"/>
    <x v="1"/>
    <x v="3"/>
    <n v="4"/>
    <n v="4"/>
    <n v="4"/>
    <n v="3"/>
    <n v="3"/>
    <n v="3"/>
    <n v="2"/>
    <n v="3"/>
    <n v="2"/>
    <n v="2"/>
    <n v="3"/>
    <n v="3"/>
    <n v="4"/>
    <n v="2"/>
    <n v="3"/>
    <n v="4"/>
    <n v="4"/>
    <n v="4"/>
    <n v="4"/>
    <n v="2"/>
  </r>
  <r>
    <s v="Detroit Pistons"/>
    <s v="2004-2005"/>
    <n v="54"/>
    <n v="28"/>
    <x v="0"/>
    <n v="3.31"/>
    <n v="1"/>
    <x v="1"/>
    <n v="1"/>
    <n v="1"/>
    <n v="3"/>
    <n v="3"/>
    <x v="3"/>
    <x v="3"/>
    <n v="3"/>
    <n v="2"/>
    <n v="4"/>
    <n v="2"/>
    <n v="1"/>
    <n v="1"/>
    <n v="1"/>
    <n v="2"/>
    <n v="1"/>
    <n v="1"/>
    <n v="1"/>
    <n v="1"/>
    <n v="3"/>
    <n v="1"/>
    <n v="1"/>
    <n v="3"/>
    <n v="2"/>
    <n v="2"/>
    <n v="3"/>
    <n v="1"/>
  </r>
  <r>
    <s v="Golden State Warriors"/>
    <s v="2004-2005"/>
    <n v="34"/>
    <n v="48"/>
    <x v="1"/>
    <n v="-1.74"/>
    <n v="3"/>
    <x v="2"/>
    <n v="4"/>
    <n v="4"/>
    <n v="1"/>
    <n v="1"/>
    <x v="3"/>
    <x v="0"/>
    <n v="3"/>
    <n v="4"/>
    <n v="3"/>
    <n v="1"/>
    <n v="3"/>
    <n v="3"/>
    <n v="4"/>
    <n v="4"/>
    <n v="1"/>
    <n v="1"/>
    <n v="2"/>
    <n v="2"/>
    <n v="4"/>
    <n v="4"/>
    <n v="4"/>
    <n v="2"/>
    <n v="3"/>
    <n v="4"/>
    <n v="2"/>
    <n v="3"/>
  </r>
  <r>
    <s v="Houston Rockets"/>
    <s v="2004-2005"/>
    <n v="51"/>
    <n v="31"/>
    <x v="0"/>
    <n v="4.26"/>
    <n v="1"/>
    <x v="1"/>
    <n v="3"/>
    <n v="3"/>
    <n v="2"/>
    <n v="2"/>
    <x v="0"/>
    <x v="1"/>
    <n v="3"/>
    <n v="2"/>
    <n v="2"/>
    <n v="2"/>
    <n v="2"/>
    <n v="1"/>
    <n v="1"/>
    <n v="2"/>
    <n v="1"/>
    <n v="2"/>
    <n v="2"/>
    <n v="3"/>
    <n v="2"/>
    <n v="2"/>
    <n v="2"/>
    <n v="3"/>
    <n v="1"/>
    <n v="1"/>
    <n v="2"/>
    <n v="1"/>
  </r>
  <r>
    <s v="Indiana Pacers"/>
    <s v="2004-2005"/>
    <n v="44"/>
    <n v="38"/>
    <x v="0"/>
    <n v="0.49"/>
    <n v="1"/>
    <x v="1"/>
    <n v="3"/>
    <n v="3"/>
    <n v="4"/>
    <n v="3"/>
    <x v="0"/>
    <x v="0"/>
    <n v="1"/>
    <n v="3"/>
    <n v="2"/>
    <n v="2"/>
    <n v="3"/>
    <n v="1"/>
    <n v="1"/>
    <n v="1"/>
    <n v="1"/>
    <n v="1"/>
    <n v="3"/>
    <n v="3"/>
    <n v="3"/>
    <n v="2"/>
    <n v="1"/>
    <n v="1"/>
    <n v="3"/>
    <n v="2"/>
    <n v="3"/>
    <n v="1"/>
  </r>
  <r>
    <s v="Los Angeles Clippers"/>
    <s v="2004-2005"/>
    <n v="37"/>
    <n v="45"/>
    <x v="1"/>
    <n v="-0.47"/>
    <n v="2"/>
    <x v="1"/>
    <n v="1"/>
    <n v="1"/>
    <n v="4"/>
    <n v="4"/>
    <x v="1"/>
    <x v="0"/>
    <n v="4"/>
    <n v="3"/>
    <n v="3"/>
    <n v="4"/>
    <n v="3"/>
    <n v="2"/>
    <n v="2"/>
    <n v="3"/>
    <n v="2"/>
    <n v="2"/>
    <n v="2"/>
    <n v="2"/>
    <n v="4"/>
    <n v="1"/>
    <n v="2"/>
    <n v="4"/>
    <n v="2"/>
    <n v="2"/>
    <n v="4"/>
    <n v="2"/>
  </r>
  <r>
    <s v="Los Angeles Lakers"/>
    <s v="2004-2005"/>
    <n v="34"/>
    <n v="48"/>
    <x v="1"/>
    <n v="-2.33"/>
    <n v="1"/>
    <x v="3"/>
    <n v="4"/>
    <n v="4"/>
    <n v="3"/>
    <n v="3"/>
    <x v="3"/>
    <x v="3"/>
    <n v="2"/>
    <n v="1"/>
    <n v="2"/>
    <n v="2"/>
    <n v="2"/>
    <n v="3"/>
    <n v="4"/>
    <n v="4"/>
    <n v="3"/>
    <n v="4"/>
    <n v="2"/>
    <n v="1"/>
    <n v="4"/>
    <n v="2"/>
    <n v="4"/>
    <n v="3"/>
    <n v="3"/>
    <n v="1"/>
    <n v="3"/>
    <n v="3"/>
  </r>
  <r>
    <s v="Memphis Grizzlies"/>
    <s v="2004-2005"/>
    <n v="45"/>
    <n v="37"/>
    <x v="0"/>
    <n v="2.63"/>
    <n v="1"/>
    <x v="1"/>
    <n v="3"/>
    <n v="3"/>
    <n v="2"/>
    <n v="2"/>
    <x v="0"/>
    <x v="2"/>
    <n v="2"/>
    <n v="4"/>
    <n v="4"/>
    <n v="3"/>
    <n v="4"/>
    <n v="1"/>
    <n v="1"/>
    <n v="1"/>
    <n v="1"/>
    <n v="1"/>
    <n v="3"/>
    <n v="3"/>
    <n v="4"/>
    <n v="1"/>
    <n v="1"/>
    <n v="3"/>
    <n v="4"/>
    <n v="4"/>
    <n v="3"/>
    <n v="1"/>
  </r>
  <r>
    <s v="Miami Heat"/>
    <s v="2004-2005"/>
    <n v="59"/>
    <n v="23"/>
    <x v="0"/>
    <n v="5.76"/>
    <n v="4"/>
    <x v="1"/>
    <n v="2"/>
    <n v="2"/>
    <n v="3"/>
    <n v="4"/>
    <x v="0"/>
    <x v="1"/>
    <n v="3"/>
    <n v="1"/>
    <n v="4"/>
    <n v="1"/>
    <n v="3"/>
    <n v="4"/>
    <n v="1"/>
    <n v="3"/>
    <n v="1"/>
    <n v="1"/>
    <n v="3"/>
    <n v="3"/>
    <n v="2"/>
    <n v="1"/>
    <n v="1"/>
    <n v="3"/>
    <n v="1"/>
    <n v="1"/>
    <n v="4"/>
    <n v="1"/>
  </r>
  <r>
    <s v="Milwaukee Bucks"/>
    <s v="2004-2005"/>
    <n v="30"/>
    <n v="52"/>
    <x v="1"/>
    <n v="-3.09"/>
    <n v="2"/>
    <x v="3"/>
    <n v="1"/>
    <n v="1"/>
    <n v="4"/>
    <n v="4"/>
    <x v="1"/>
    <x v="0"/>
    <n v="2"/>
    <n v="1"/>
    <n v="1"/>
    <n v="2"/>
    <n v="2"/>
    <n v="2"/>
    <n v="3"/>
    <n v="3"/>
    <n v="2"/>
    <n v="2"/>
    <n v="2"/>
    <n v="2"/>
    <n v="3"/>
    <n v="2"/>
    <n v="4"/>
    <n v="3"/>
    <n v="2"/>
    <n v="1"/>
    <n v="4"/>
    <n v="3"/>
  </r>
  <r>
    <s v="Minnesota Timberwolves"/>
    <s v="2004-2005"/>
    <n v="44"/>
    <n v="38"/>
    <x v="1"/>
    <n v="1.73"/>
    <n v="3"/>
    <x v="3"/>
    <n v="1"/>
    <n v="1"/>
    <n v="1"/>
    <n v="1"/>
    <x v="1"/>
    <x v="1"/>
    <n v="4"/>
    <n v="1"/>
    <n v="4"/>
    <n v="1"/>
    <n v="2"/>
    <n v="2"/>
    <n v="2"/>
    <n v="4"/>
    <n v="2"/>
    <n v="1"/>
    <n v="1"/>
    <n v="1"/>
    <n v="4"/>
    <n v="1"/>
    <n v="3"/>
    <n v="1"/>
    <n v="1"/>
    <n v="1"/>
    <n v="1"/>
    <n v="1"/>
  </r>
  <r>
    <s v="New Jersey Nets"/>
    <s v="2004-2005"/>
    <n v="42"/>
    <n v="40"/>
    <x v="0"/>
    <n v="-1.82"/>
    <n v="1"/>
    <x v="1"/>
    <n v="2"/>
    <n v="2"/>
    <n v="2"/>
    <n v="2"/>
    <x v="2"/>
    <x v="0"/>
    <n v="3"/>
    <n v="4"/>
    <n v="1"/>
    <n v="2"/>
    <n v="4"/>
    <n v="1"/>
    <n v="1"/>
    <n v="1"/>
    <n v="2"/>
    <n v="2"/>
    <n v="4"/>
    <n v="4"/>
    <n v="2"/>
    <n v="3"/>
    <n v="2"/>
    <n v="3"/>
    <n v="3"/>
    <n v="4"/>
    <n v="3"/>
    <n v="1"/>
  </r>
  <r>
    <s v="New Orleans Hornets"/>
    <s v="2004-2005"/>
    <n v="18"/>
    <n v="64"/>
    <x v="1"/>
    <n v="-6.3"/>
    <n v="1"/>
    <x v="0"/>
    <n v="1"/>
    <n v="2"/>
    <n v="1"/>
    <n v="1"/>
    <x v="3"/>
    <x v="2"/>
    <n v="3"/>
    <n v="1"/>
    <n v="1"/>
    <n v="3"/>
    <n v="3"/>
    <n v="1"/>
    <n v="1"/>
    <n v="1"/>
    <n v="2"/>
    <n v="2"/>
    <n v="3"/>
    <n v="3"/>
    <n v="3"/>
    <n v="3"/>
    <n v="3"/>
    <n v="3"/>
    <n v="4"/>
    <n v="2"/>
    <n v="2"/>
    <n v="2"/>
  </r>
  <r>
    <s v="New York Knickerbockers"/>
    <s v="2004-2005"/>
    <n v="33"/>
    <n v="49"/>
    <x v="1"/>
    <n v="-2.73"/>
    <n v="2"/>
    <x v="3"/>
    <n v="2"/>
    <n v="2"/>
    <n v="3"/>
    <n v="2"/>
    <x v="1"/>
    <x v="0"/>
    <n v="2"/>
    <n v="3"/>
    <n v="1"/>
    <n v="3"/>
    <n v="4"/>
    <n v="2"/>
    <n v="3"/>
    <n v="2"/>
    <n v="2"/>
    <n v="1"/>
    <n v="4"/>
    <n v="4"/>
    <n v="3"/>
    <n v="2"/>
    <n v="2"/>
    <n v="3"/>
    <n v="2"/>
    <n v="3"/>
    <n v="2"/>
    <n v="3"/>
  </r>
  <r>
    <s v="Orlando Magic"/>
    <s v="2004-2005"/>
    <n v="36"/>
    <n v="46"/>
    <x v="1"/>
    <n v="-2.52"/>
    <n v="3"/>
    <x v="3"/>
    <n v="1"/>
    <n v="1"/>
    <n v="4"/>
    <n v="4"/>
    <x v="3"/>
    <x v="3"/>
    <n v="1"/>
    <n v="4"/>
    <n v="4"/>
    <n v="4"/>
    <n v="4"/>
    <n v="3"/>
    <n v="3"/>
    <n v="4"/>
    <n v="1"/>
    <n v="1"/>
    <n v="4"/>
    <n v="4"/>
    <n v="4"/>
    <n v="2"/>
    <n v="3"/>
    <n v="4"/>
    <n v="1"/>
    <n v="3"/>
    <n v="4"/>
    <n v="4"/>
  </r>
  <r>
    <s v="Philadelphia 76ers"/>
    <s v="2004-2005"/>
    <n v="43"/>
    <n v="39"/>
    <x v="0"/>
    <n v="-1.08"/>
    <n v="2"/>
    <x v="2"/>
    <n v="3"/>
    <n v="3"/>
    <n v="4"/>
    <n v="3"/>
    <x v="0"/>
    <x v="3"/>
    <n v="2"/>
    <n v="4"/>
    <n v="1"/>
    <n v="4"/>
    <n v="3"/>
    <n v="3"/>
    <n v="2"/>
    <n v="3"/>
    <n v="4"/>
    <n v="4"/>
    <n v="4"/>
    <n v="4"/>
    <n v="3"/>
    <n v="4"/>
    <n v="4"/>
    <n v="4"/>
    <n v="2"/>
    <n v="4"/>
    <n v="4"/>
    <n v="3"/>
  </r>
  <r>
    <s v="Phoenix Suns"/>
    <s v="2004-2005"/>
    <n v="62"/>
    <n v="20"/>
    <x v="0"/>
    <n v="7.08"/>
    <n v="4"/>
    <x v="2"/>
    <n v="4"/>
    <n v="4"/>
    <n v="2"/>
    <n v="2"/>
    <x v="1"/>
    <x v="1"/>
    <n v="4"/>
    <n v="2"/>
    <n v="4"/>
    <n v="1"/>
    <n v="1"/>
    <n v="4"/>
    <n v="4"/>
    <n v="4"/>
    <n v="2"/>
    <n v="3"/>
    <n v="1"/>
    <n v="1"/>
    <n v="4"/>
    <n v="4"/>
    <n v="3"/>
    <n v="3"/>
    <n v="1"/>
    <n v="2"/>
    <n v="2"/>
    <n v="4"/>
  </r>
  <r>
    <s v="Portland Trail Blazers"/>
    <s v="2004-2005"/>
    <n v="27"/>
    <n v="55"/>
    <x v="1"/>
    <n v="-3.45"/>
    <n v="1"/>
    <x v="0"/>
    <n v="2"/>
    <n v="1"/>
    <n v="1"/>
    <n v="1"/>
    <x v="1"/>
    <x v="0"/>
    <n v="3"/>
    <n v="2"/>
    <n v="4"/>
    <n v="4"/>
    <n v="2"/>
    <n v="1"/>
    <n v="3"/>
    <n v="4"/>
    <n v="1"/>
    <n v="1"/>
    <n v="1"/>
    <n v="1"/>
    <n v="4"/>
    <n v="1"/>
    <n v="4"/>
    <n v="4"/>
    <n v="3"/>
    <n v="1"/>
    <n v="1"/>
    <n v="2"/>
  </r>
  <r>
    <s v="Sacramento Kings"/>
    <s v="2004-2005"/>
    <n v="50"/>
    <n v="32"/>
    <x v="0"/>
    <n v="2.5499999999999998"/>
    <n v="4"/>
    <x v="2"/>
    <n v="3"/>
    <n v="2"/>
    <n v="3"/>
    <n v="2"/>
    <x v="3"/>
    <x v="0"/>
    <n v="4"/>
    <n v="4"/>
    <n v="1"/>
    <n v="1"/>
    <n v="1"/>
    <n v="4"/>
    <n v="4"/>
    <n v="4"/>
    <n v="2"/>
    <n v="2"/>
    <n v="2"/>
    <n v="2"/>
    <n v="4"/>
    <n v="3"/>
    <n v="3"/>
    <n v="3"/>
    <n v="2"/>
    <n v="3"/>
    <n v="2"/>
    <n v="3"/>
  </r>
  <r>
    <s v="San Antonio Spurs"/>
    <s v="2004-2005"/>
    <n v="59"/>
    <n v="23"/>
    <x v="0"/>
    <n v="7.84"/>
    <n v="2"/>
    <x v="0"/>
    <n v="3"/>
    <n v="2"/>
    <n v="2"/>
    <n v="3"/>
    <x v="1"/>
    <x v="3"/>
    <n v="3"/>
    <n v="3"/>
    <n v="4"/>
    <n v="1"/>
    <n v="2"/>
    <n v="2"/>
    <n v="1"/>
    <n v="1"/>
    <n v="1"/>
    <n v="1"/>
    <n v="2"/>
    <n v="2"/>
    <n v="2"/>
    <n v="2"/>
    <n v="1"/>
    <n v="2"/>
    <n v="3"/>
    <n v="3"/>
    <n v="3"/>
    <n v="1"/>
  </r>
  <r>
    <s v="Seattle Supersonics"/>
    <s v="2004-2005"/>
    <n v="52"/>
    <n v="30"/>
    <x v="0"/>
    <n v="2.59"/>
    <n v="1"/>
    <x v="0"/>
    <n v="4"/>
    <n v="4"/>
    <n v="4"/>
    <n v="3"/>
    <x v="3"/>
    <x v="2"/>
    <n v="1"/>
    <n v="1"/>
    <n v="1"/>
    <n v="1"/>
    <n v="4"/>
    <n v="3"/>
    <n v="2"/>
    <n v="1"/>
    <n v="2"/>
    <n v="2"/>
    <n v="3"/>
    <n v="3"/>
    <n v="3"/>
    <n v="1"/>
    <n v="2"/>
    <n v="1"/>
    <n v="2"/>
    <n v="1"/>
    <n v="4"/>
    <n v="2"/>
  </r>
  <r>
    <s v="Toronto Raptors"/>
    <s v="2004-2005"/>
    <n v="33"/>
    <n v="49"/>
    <x v="1"/>
    <n v="-1.81"/>
    <n v="2"/>
    <x v="3"/>
    <n v="4"/>
    <n v="4"/>
    <n v="3"/>
    <n v="3"/>
    <x v="2"/>
    <x v="0"/>
    <n v="2"/>
    <n v="3"/>
    <n v="1"/>
    <n v="1"/>
    <n v="3"/>
    <n v="3"/>
    <n v="4"/>
    <n v="3"/>
    <n v="1"/>
    <n v="1"/>
    <n v="3"/>
    <n v="3"/>
    <n v="4"/>
    <n v="4"/>
    <n v="3"/>
    <n v="1"/>
    <n v="2"/>
    <n v="3"/>
    <n v="2"/>
    <n v="3"/>
  </r>
  <r>
    <s v="Utah Jazz"/>
    <s v="2004-2005"/>
    <n v="26"/>
    <n v="56"/>
    <x v="1"/>
    <n v="-3.74"/>
    <n v="1"/>
    <x v="1"/>
    <n v="1"/>
    <n v="1"/>
    <n v="4"/>
    <n v="4"/>
    <x v="3"/>
    <x v="2"/>
    <n v="4"/>
    <n v="1"/>
    <n v="2"/>
    <n v="4"/>
    <n v="4"/>
    <n v="1"/>
    <n v="1"/>
    <n v="1"/>
    <n v="2"/>
    <n v="2"/>
    <n v="4"/>
    <n v="4"/>
    <n v="1"/>
    <n v="1"/>
    <n v="1"/>
    <n v="4"/>
    <n v="4"/>
    <n v="3"/>
    <n v="4"/>
    <n v="2"/>
  </r>
  <r>
    <s v="Washington Wizards"/>
    <s v="2004-2005"/>
    <n v="45"/>
    <n v="37"/>
    <x v="0"/>
    <n v="-0.72"/>
    <n v="2"/>
    <x v="2"/>
    <n v="3"/>
    <n v="3"/>
    <n v="4"/>
    <n v="4"/>
    <x v="3"/>
    <x v="2"/>
    <n v="1"/>
    <n v="4"/>
    <n v="2"/>
    <n v="2"/>
    <n v="2"/>
    <n v="3"/>
    <n v="3"/>
    <n v="4"/>
    <n v="3"/>
    <n v="3"/>
    <n v="2"/>
    <n v="2"/>
    <n v="4"/>
    <n v="3"/>
    <n v="4"/>
    <n v="2"/>
    <n v="3"/>
    <n v="4"/>
    <n v="4"/>
    <n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7" cacheId="30" applyNumberFormats="0" applyBorderFormats="0" applyFontFormats="0" applyPatternFormats="0" applyAlignmentFormats="0" applyWidthHeightFormats="1" dataCaption="Values" updatedVersion="3" minRefreshableVersion="3" showCalcMbrs="0" useAutoFormatting="1" itemPrintTitles="1" createdVersion="3" indent="0" compact="0" compactData="0" multipleFieldFilters="0" chartFormat="2">
  <location ref="A3:D9" firstHeaderRow="1" firstDataRow="2" firstDataCol="1"/>
  <pivotFields count="34">
    <pivotField compact="0" outline="0" showAll="0"/>
    <pivotField compact="0" outline="0" showAll="0"/>
    <pivotField compact="0" outline="0" showAll="0"/>
    <pivotField compact="0" outline="0" showAll="0"/>
    <pivotField axis="axisCol" dataField="1" compact="0" outline="0" showAll="0">
      <items count="3">
        <item x="1"/>
        <item x="0"/>
        <item t="default"/>
      </items>
    </pivotField>
    <pivotField compact="0" outline="0" showAll="0"/>
    <pivotField compact="0" outline="0" showAll="0"/>
    <pivotField compact="0" outline="0" showAll="0">
      <items count="5">
        <item x="1"/>
        <item x="0"/>
        <item x="3"/>
        <item x="2"/>
        <item t="default"/>
      </items>
    </pivotField>
    <pivotField compact="0" outline="0" showAll="0"/>
    <pivotField compact="0" outline="0" showAll="0"/>
    <pivotField compact="0" outline="0" showAll="0"/>
    <pivotField compact="0" outline="0" showAll="0"/>
    <pivotField compact="0" outline="0" showAll="0">
      <items count="5">
        <item x="2"/>
        <item x="0"/>
        <item x="1"/>
        <item x="3"/>
        <item t="default"/>
      </items>
    </pivotField>
    <pivotField axis="axisRow" compact="0" outline="0" showAll="0">
      <items count="5">
        <item x="2"/>
        <item x="0"/>
        <item x="3"/>
        <item x="1"/>
        <item t="default"/>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1">
    <field x="13"/>
  </rowFields>
  <rowItems count="5">
    <i>
      <x/>
    </i>
    <i>
      <x v="1"/>
    </i>
    <i>
      <x v="2"/>
    </i>
    <i>
      <x v="3"/>
    </i>
    <i t="grand">
      <x/>
    </i>
  </rowItems>
  <colFields count="1">
    <field x="4"/>
  </colFields>
  <colItems count="3">
    <i>
      <x/>
    </i>
    <i>
      <x v="1"/>
    </i>
    <i t="grand">
      <x/>
    </i>
  </colItems>
  <dataFields count="1">
    <dataField name="Count of Playoff team" fld="4" subtotal="count" showDataAs="percentOfRow" baseField="0" baseItem="0" numFmtId="10"/>
  </dataFields>
  <chartFormats count="4">
    <chartFormat chart="0" format="0" series="1">
      <pivotArea type="data" outline="0" fieldPosition="0">
        <references count="2">
          <reference field="4294967294" count="1" selected="0">
            <x v="0"/>
          </reference>
          <reference field="4" count="1" selected="0">
            <x v="0"/>
          </reference>
        </references>
      </pivotArea>
    </chartFormat>
    <chartFormat chart="0" format="1" series="1">
      <pivotArea type="data" outline="0" fieldPosition="0">
        <references count="2">
          <reference field="4294967294" count="1" selected="0">
            <x v="0"/>
          </reference>
          <reference field="4" count="1" selected="0">
            <x v="1"/>
          </reference>
        </references>
      </pivotArea>
    </chartFormat>
    <chartFormat chart="1" format="0" series="1">
      <pivotArea type="data" outline="0" fieldPosition="0">
        <references count="2">
          <reference field="4294967294" count="1" selected="0">
            <x v="0"/>
          </reference>
          <reference field="4" count="1" selected="0">
            <x v="0"/>
          </reference>
        </references>
      </pivotArea>
    </chartFormat>
    <chartFormat chart="1" format="1" series="1">
      <pivotArea type="data" outline="0" fieldPosition="0">
        <references count="2">
          <reference field="4294967294" count="1" selected="0">
            <x v="0"/>
          </reference>
          <reference field="4" count="1" selected="0">
            <x v="1"/>
          </reference>
        </references>
      </pivotArea>
    </chartFormat>
  </chartFormats>
  <pivotTableStyleInfo name="PivotStyleLight16" showRowHeaders="1" showColHeaders="1" showRowStripes="0" showColStripes="0" showLastColumn="1"/>
</pivotTableDefinition>
</file>

<file path=xl/queryTables/queryTable1.xml><?xml version="1.0" encoding="utf-8"?>
<queryTable xmlns="http://schemas.openxmlformats.org/spreadsheetml/2006/main" name="NBA_2009"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NBA_2009"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queryTable" Target="../queryTables/queryTable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vmlDrawing" Target="../drawings/vmlDrawing2.vml"/><Relationship Id="rId1" Type="http://schemas.openxmlformats.org/officeDocument/2006/relationships/drawing" Target="../drawings/drawing3.xm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H153"/>
  <sheetViews>
    <sheetView tabSelected="1" zoomScaleNormal="100" workbookViewId="0">
      <selection activeCell="A2" sqref="A2"/>
    </sheetView>
  </sheetViews>
  <sheetFormatPr defaultRowHeight="15" x14ac:dyDescent="0.25"/>
  <cols>
    <col min="1" max="1" width="34.42578125" bestFit="1" customWidth="1"/>
    <col min="2" max="2" width="10.42578125" style="3" customWidth="1"/>
    <col min="3" max="3" width="5.42578125" bestFit="1" customWidth="1"/>
    <col min="4" max="4" width="7.28515625" customWidth="1"/>
    <col min="5" max="5" width="12.28515625" style="22" bestFit="1" customWidth="1"/>
    <col min="6" max="6" width="7.28515625" customWidth="1"/>
    <col min="7" max="7" width="5.7109375" customWidth="1"/>
    <col min="8" max="9" width="6" customWidth="1"/>
    <col min="10" max="10" width="5.140625" customWidth="1"/>
    <col min="11" max="11" width="5" bestFit="1" customWidth="1"/>
    <col min="12" max="13" width="6.28515625" customWidth="1"/>
    <col min="14" max="14" width="7.42578125" bestFit="1" customWidth="1"/>
    <col min="15" max="15" width="5" bestFit="1" customWidth="1"/>
    <col min="16" max="16" width="6.28515625" customWidth="1"/>
    <col min="17" max="17" width="6.140625" customWidth="1"/>
    <col min="18" max="18" width="7.42578125" customWidth="1"/>
    <col min="19" max="20" width="5" bestFit="1" customWidth="1"/>
    <col min="21" max="21" width="7.85546875" customWidth="1"/>
    <col min="22" max="22" width="7" bestFit="1" customWidth="1"/>
    <col min="23" max="23" width="5.5703125" bestFit="1" customWidth="1"/>
    <col min="24" max="24" width="6.85546875" bestFit="1" customWidth="1"/>
    <col min="25" max="25" width="5.42578125" bestFit="1" customWidth="1"/>
    <col min="26" max="26" width="6.7109375" bestFit="1" customWidth="1"/>
    <col min="27" max="27" width="7.140625" bestFit="1" customWidth="1"/>
    <col min="28" max="28" width="7" bestFit="1" customWidth="1"/>
    <col min="29" max="29" width="6.7109375" bestFit="1" customWidth="1"/>
    <col min="30" max="30" width="6.28515625" bestFit="1" customWidth="1"/>
    <col min="31" max="31" width="6.5703125" bestFit="1" customWidth="1"/>
    <col min="32" max="32" width="7.140625" bestFit="1" customWidth="1"/>
    <col min="33" max="33" width="5.5703125" bestFit="1" customWidth="1"/>
    <col min="34" max="34" width="6.5703125" bestFit="1" customWidth="1"/>
    <col min="35" max="35" width="7.28515625" customWidth="1"/>
  </cols>
  <sheetData>
    <row r="1" spans="1:34" s="1" customFormat="1" x14ac:dyDescent="0.25">
      <c r="A1" s="1" t="s">
        <v>49</v>
      </c>
      <c r="B1" s="2"/>
      <c r="C1" s="1" t="s">
        <v>48</v>
      </c>
      <c r="E1" s="23"/>
      <c r="G1" s="1" t="s">
        <v>46</v>
      </c>
      <c r="U1" s="1" t="s">
        <v>47</v>
      </c>
    </row>
    <row r="2" spans="1:34" ht="15.75" thickBot="1" x14ac:dyDescent="0.3"/>
    <row r="3" spans="1:34" s="1" customFormat="1" ht="15.75" thickBot="1" x14ac:dyDescent="0.3">
      <c r="A3" s="16" t="s">
        <v>1</v>
      </c>
      <c r="B3" s="17" t="s">
        <v>51</v>
      </c>
      <c r="C3" s="18" t="s">
        <v>30</v>
      </c>
      <c r="D3" s="19" t="s">
        <v>31</v>
      </c>
      <c r="E3" s="40" t="s">
        <v>50</v>
      </c>
      <c r="F3" s="20" t="s">
        <v>0</v>
      </c>
      <c r="G3" s="18" t="s">
        <v>2</v>
      </c>
      <c r="H3" s="19" t="s">
        <v>3</v>
      </c>
      <c r="I3" s="19" t="s">
        <v>4</v>
      </c>
      <c r="J3" s="19" t="s">
        <v>5</v>
      </c>
      <c r="K3" s="19" t="s">
        <v>6</v>
      </c>
      <c r="L3" s="19" t="s">
        <v>7</v>
      </c>
      <c r="M3" s="19" t="s">
        <v>8</v>
      </c>
      <c r="N3" s="19" t="s">
        <v>9</v>
      </c>
      <c r="O3" s="19" t="s">
        <v>10</v>
      </c>
      <c r="P3" s="19" t="s">
        <v>11</v>
      </c>
      <c r="Q3" s="19" t="s">
        <v>12</v>
      </c>
      <c r="R3" s="19" t="s">
        <v>13</v>
      </c>
      <c r="S3" s="19" t="s">
        <v>14</v>
      </c>
      <c r="T3" s="21" t="s">
        <v>15</v>
      </c>
      <c r="U3" s="18" t="s">
        <v>32</v>
      </c>
      <c r="V3" s="19" t="s">
        <v>33</v>
      </c>
      <c r="W3" s="19" t="s">
        <v>34</v>
      </c>
      <c r="X3" s="19" t="s">
        <v>35</v>
      </c>
      <c r="Y3" s="19" t="s">
        <v>36</v>
      </c>
      <c r="Z3" s="19" t="s">
        <v>37</v>
      </c>
      <c r="AA3" s="19" t="s">
        <v>38</v>
      </c>
      <c r="AB3" s="19" t="s">
        <v>39</v>
      </c>
      <c r="AC3" s="19" t="s">
        <v>40</v>
      </c>
      <c r="AD3" s="19" t="s">
        <v>41</v>
      </c>
      <c r="AE3" s="19" t="s">
        <v>42</v>
      </c>
      <c r="AF3" s="19" t="s">
        <v>43</v>
      </c>
      <c r="AG3" s="19" t="s">
        <v>44</v>
      </c>
      <c r="AH3" s="21" t="s">
        <v>45</v>
      </c>
    </row>
    <row r="4" spans="1:34" x14ac:dyDescent="0.25">
      <c r="A4" s="4" t="s">
        <v>60</v>
      </c>
      <c r="B4" s="13" t="s">
        <v>52</v>
      </c>
      <c r="C4" s="4">
        <v>47</v>
      </c>
      <c r="D4" s="5">
        <v>35</v>
      </c>
      <c r="E4" s="41" t="s">
        <v>58</v>
      </c>
      <c r="F4" s="6">
        <v>1.71</v>
      </c>
      <c r="G4" s="4">
        <v>2956</v>
      </c>
      <c r="H4" s="5">
        <v>6451</v>
      </c>
      <c r="I4" s="5">
        <v>597</v>
      </c>
      <c r="J4" s="5">
        <v>1633</v>
      </c>
      <c r="K4" s="5">
        <v>1537</v>
      </c>
      <c r="L4" s="5">
        <v>2085</v>
      </c>
      <c r="M4" s="5">
        <v>870</v>
      </c>
      <c r="N4" s="5">
        <v>2412</v>
      </c>
      <c r="O4" s="5">
        <v>1657</v>
      </c>
      <c r="P4" s="5">
        <v>603</v>
      </c>
      <c r="Q4" s="5">
        <v>376</v>
      </c>
      <c r="R4" s="5">
        <v>1048</v>
      </c>
      <c r="S4" s="5">
        <v>1610</v>
      </c>
      <c r="T4" s="6">
        <v>8046</v>
      </c>
      <c r="U4" s="4">
        <v>3002</v>
      </c>
      <c r="V4" s="5">
        <v>6609</v>
      </c>
      <c r="W4" s="5">
        <v>528</v>
      </c>
      <c r="X4" s="5">
        <v>1496</v>
      </c>
      <c r="Y4" s="5">
        <v>1385</v>
      </c>
      <c r="Z4" s="5">
        <v>1800</v>
      </c>
      <c r="AA4" s="5">
        <v>955</v>
      </c>
      <c r="AB4" s="5">
        <v>2481</v>
      </c>
      <c r="AC4" s="5">
        <v>1705</v>
      </c>
      <c r="AD4" s="5">
        <v>530</v>
      </c>
      <c r="AE4" s="5">
        <v>354</v>
      </c>
      <c r="AF4" s="5">
        <v>1121</v>
      </c>
      <c r="AG4" s="5">
        <v>1681</v>
      </c>
      <c r="AH4" s="6">
        <v>7917</v>
      </c>
    </row>
    <row r="5" spans="1:34" x14ac:dyDescent="0.25">
      <c r="A5" s="7" t="s">
        <v>61</v>
      </c>
      <c r="B5" s="14" t="s">
        <v>52</v>
      </c>
      <c r="C5" s="7">
        <v>62</v>
      </c>
      <c r="D5" s="8">
        <v>20</v>
      </c>
      <c r="E5" s="42" t="s">
        <v>58</v>
      </c>
      <c r="F5" s="9">
        <v>7.44</v>
      </c>
      <c r="G5" s="7">
        <v>3075</v>
      </c>
      <c r="H5" s="8">
        <v>6333</v>
      </c>
      <c r="I5" s="8">
        <v>538</v>
      </c>
      <c r="J5" s="8">
        <v>1355</v>
      </c>
      <c r="K5" s="8">
        <v>1587</v>
      </c>
      <c r="L5" s="8">
        <v>2075</v>
      </c>
      <c r="M5" s="8">
        <v>869</v>
      </c>
      <c r="N5" s="8">
        <v>2586</v>
      </c>
      <c r="O5" s="8">
        <v>1862</v>
      </c>
      <c r="P5" s="8">
        <v>621</v>
      </c>
      <c r="Q5" s="8">
        <v>387</v>
      </c>
      <c r="R5" s="8">
        <v>1280</v>
      </c>
      <c r="S5" s="8">
        <v>1897</v>
      </c>
      <c r="T5" s="9">
        <v>8275</v>
      </c>
      <c r="U5" s="7">
        <v>2763</v>
      </c>
      <c r="V5" s="8">
        <v>6418</v>
      </c>
      <c r="W5" s="8">
        <v>507</v>
      </c>
      <c r="X5" s="8">
        <v>1452</v>
      </c>
      <c r="Y5" s="8">
        <v>1626</v>
      </c>
      <c r="Z5" s="8">
        <v>2110</v>
      </c>
      <c r="AA5" s="8">
        <v>834</v>
      </c>
      <c r="AB5" s="8">
        <v>2249</v>
      </c>
      <c r="AC5" s="8">
        <v>1553</v>
      </c>
      <c r="AD5" s="8">
        <v>585</v>
      </c>
      <c r="AE5" s="8">
        <v>389</v>
      </c>
      <c r="AF5" s="8">
        <v>1195</v>
      </c>
      <c r="AG5" s="8">
        <v>1820</v>
      </c>
      <c r="AH5" s="9">
        <v>7659</v>
      </c>
    </row>
    <row r="6" spans="1:34" x14ac:dyDescent="0.25">
      <c r="A6" s="7" t="s">
        <v>29</v>
      </c>
      <c r="B6" s="14" t="s">
        <v>52</v>
      </c>
      <c r="C6" s="7">
        <v>35</v>
      </c>
      <c r="D6" s="8">
        <v>47</v>
      </c>
      <c r="E6" s="42" t="s">
        <v>59</v>
      </c>
      <c r="F6" s="9">
        <v>-1.19</v>
      </c>
      <c r="G6" s="7">
        <v>2866</v>
      </c>
      <c r="H6" s="8">
        <v>6299</v>
      </c>
      <c r="I6" s="8">
        <v>490</v>
      </c>
      <c r="J6" s="8">
        <v>1339</v>
      </c>
      <c r="K6" s="8">
        <v>1455</v>
      </c>
      <c r="L6" s="8">
        <v>1965</v>
      </c>
      <c r="M6" s="8">
        <v>886</v>
      </c>
      <c r="N6" s="8">
        <v>2366</v>
      </c>
      <c r="O6" s="8">
        <v>1741</v>
      </c>
      <c r="P6" s="8">
        <v>580</v>
      </c>
      <c r="Q6" s="8">
        <v>397</v>
      </c>
      <c r="R6" s="8">
        <v>1279</v>
      </c>
      <c r="S6" s="8">
        <v>1754</v>
      </c>
      <c r="T6" s="9">
        <v>7677</v>
      </c>
      <c r="U6" s="7">
        <v>2883</v>
      </c>
      <c r="V6" s="8">
        <v>6349</v>
      </c>
      <c r="W6" s="8">
        <v>558</v>
      </c>
      <c r="X6" s="8">
        <v>1526</v>
      </c>
      <c r="Y6" s="8">
        <v>1457</v>
      </c>
      <c r="Z6" s="8">
        <v>1928</v>
      </c>
      <c r="AA6" s="8">
        <v>877</v>
      </c>
      <c r="AB6" s="8">
        <v>2310</v>
      </c>
      <c r="AC6" s="8">
        <v>1604</v>
      </c>
      <c r="AD6" s="8">
        <v>626</v>
      </c>
      <c r="AE6" s="8">
        <v>488</v>
      </c>
      <c r="AF6" s="8">
        <v>1206</v>
      </c>
      <c r="AG6" s="8">
        <v>1714</v>
      </c>
      <c r="AH6" s="9">
        <v>7781</v>
      </c>
    </row>
    <row r="7" spans="1:34" x14ac:dyDescent="0.25">
      <c r="A7" s="7" t="s">
        <v>53</v>
      </c>
      <c r="B7" s="14" t="s">
        <v>52</v>
      </c>
      <c r="C7" s="7">
        <v>41</v>
      </c>
      <c r="D7" s="8">
        <v>41</v>
      </c>
      <c r="E7" s="42" t="s">
        <v>58</v>
      </c>
      <c r="F7" s="9">
        <v>-0.16</v>
      </c>
      <c r="G7" s="7">
        <v>3126</v>
      </c>
      <c r="H7" s="8">
        <v>6846</v>
      </c>
      <c r="I7" s="8">
        <v>493</v>
      </c>
      <c r="J7" s="8">
        <v>1293</v>
      </c>
      <c r="K7" s="8">
        <v>1633</v>
      </c>
      <c r="L7" s="8">
        <v>2052</v>
      </c>
      <c r="M7" s="8">
        <v>970</v>
      </c>
      <c r="N7" s="8">
        <v>2481</v>
      </c>
      <c r="O7" s="8">
        <v>1732</v>
      </c>
      <c r="P7" s="8">
        <v>615</v>
      </c>
      <c r="Q7" s="8">
        <v>453</v>
      </c>
      <c r="R7" s="8">
        <v>1192</v>
      </c>
      <c r="S7" s="8">
        <v>1709</v>
      </c>
      <c r="T7" s="9">
        <v>8378</v>
      </c>
      <c r="U7" s="7">
        <v>3141</v>
      </c>
      <c r="V7" s="8">
        <v>6864</v>
      </c>
      <c r="W7" s="8">
        <v>486</v>
      </c>
      <c r="X7" s="8">
        <v>1400</v>
      </c>
      <c r="Y7" s="8">
        <v>1633</v>
      </c>
      <c r="Z7" s="8">
        <v>2077</v>
      </c>
      <c r="AA7" s="8">
        <v>1017</v>
      </c>
      <c r="AB7" s="8">
        <v>2491</v>
      </c>
      <c r="AC7" s="8">
        <v>1723</v>
      </c>
      <c r="AD7" s="8">
        <v>622</v>
      </c>
      <c r="AE7" s="8">
        <v>449</v>
      </c>
      <c r="AF7" s="8">
        <v>1177</v>
      </c>
      <c r="AG7" s="8">
        <v>1708</v>
      </c>
      <c r="AH7" s="9">
        <v>8401</v>
      </c>
    </row>
    <row r="8" spans="1:34" x14ac:dyDescent="0.25">
      <c r="A8" s="7" t="s">
        <v>69</v>
      </c>
      <c r="B8" s="14" t="s">
        <v>52</v>
      </c>
      <c r="C8" s="7">
        <v>66</v>
      </c>
      <c r="D8" s="8">
        <v>16</v>
      </c>
      <c r="E8" s="42" t="s">
        <v>58</v>
      </c>
      <c r="F8" s="9">
        <v>8.68</v>
      </c>
      <c r="G8" s="7">
        <v>3022</v>
      </c>
      <c r="H8" s="8">
        <v>6454</v>
      </c>
      <c r="I8" s="8">
        <v>656</v>
      </c>
      <c r="J8" s="8">
        <v>1670</v>
      </c>
      <c r="K8" s="8">
        <v>1523</v>
      </c>
      <c r="L8" s="8">
        <v>2012</v>
      </c>
      <c r="M8" s="8">
        <v>886</v>
      </c>
      <c r="N8" s="8">
        <v>2574</v>
      </c>
      <c r="O8" s="8">
        <v>1663</v>
      </c>
      <c r="P8" s="8">
        <v>593</v>
      </c>
      <c r="Q8" s="8">
        <v>435</v>
      </c>
      <c r="R8" s="8">
        <v>1045</v>
      </c>
      <c r="S8" s="8">
        <v>1663</v>
      </c>
      <c r="T8" s="9">
        <v>8223</v>
      </c>
      <c r="U8" s="7">
        <v>2775</v>
      </c>
      <c r="V8" s="8">
        <v>6444</v>
      </c>
      <c r="W8" s="8">
        <v>482</v>
      </c>
      <c r="X8" s="8">
        <v>1447</v>
      </c>
      <c r="Y8" s="8">
        <v>1459</v>
      </c>
      <c r="Z8" s="8">
        <v>1895</v>
      </c>
      <c r="AA8" s="8">
        <v>878</v>
      </c>
      <c r="AB8" s="8">
        <v>2310</v>
      </c>
      <c r="AC8" s="8">
        <v>1568</v>
      </c>
      <c r="AD8" s="8">
        <v>519</v>
      </c>
      <c r="AE8" s="8">
        <v>338</v>
      </c>
      <c r="AF8" s="8">
        <v>1137</v>
      </c>
      <c r="AG8" s="8">
        <v>1664</v>
      </c>
      <c r="AH8" s="9">
        <v>7491</v>
      </c>
    </row>
    <row r="9" spans="1:34" x14ac:dyDescent="0.25">
      <c r="A9" s="7" t="s">
        <v>73</v>
      </c>
      <c r="B9" s="14" t="s">
        <v>52</v>
      </c>
      <c r="C9" s="7">
        <v>50</v>
      </c>
      <c r="D9" s="8">
        <v>32</v>
      </c>
      <c r="E9" s="42" t="s">
        <v>58</v>
      </c>
      <c r="F9" s="9">
        <v>1.68</v>
      </c>
      <c r="G9" s="7">
        <v>3128</v>
      </c>
      <c r="H9" s="8">
        <v>6770</v>
      </c>
      <c r="I9" s="8">
        <v>571</v>
      </c>
      <c r="J9" s="8">
        <v>1632</v>
      </c>
      <c r="K9" s="8">
        <v>1516</v>
      </c>
      <c r="L9" s="8">
        <v>1852</v>
      </c>
      <c r="M9" s="8">
        <v>909</v>
      </c>
      <c r="N9" s="8">
        <v>2595</v>
      </c>
      <c r="O9" s="8">
        <v>1779</v>
      </c>
      <c r="P9" s="8">
        <v>591</v>
      </c>
      <c r="Q9" s="8">
        <v>429</v>
      </c>
      <c r="R9" s="8">
        <v>1043</v>
      </c>
      <c r="S9" s="8">
        <v>1600</v>
      </c>
      <c r="T9" s="9">
        <v>8343</v>
      </c>
      <c r="U9" s="7">
        <v>3071</v>
      </c>
      <c r="V9" s="8">
        <v>6752</v>
      </c>
      <c r="W9" s="8">
        <v>517</v>
      </c>
      <c r="X9" s="8">
        <v>1379</v>
      </c>
      <c r="Y9" s="8">
        <v>1522</v>
      </c>
      <c r="Z9" s="8">
        <v>1907</v>
      </c>
      <c r="AA9" s="8">
        <v>884</v>
      </c>
      <c r="AB9" s="8">
        <v>2509</v>
      </c>
      <c r="AC9" s="8">
        <v>1611</v>
      </c>
      <c r="AD9" s="8">
        <v>589</v>
      </c>
      <c r="AE9" s="8">
        <v>334</v>
      </c>
      <c r="AF9" s="8">
        <v>1064</v>
      </c>
      <c r="AG9" s="8">
        <v>1645</v>
      </c>
      <c r="AH9" s="9">
        <v>8181</v>
      </c>
    </row>
    <row r="10" spans="1:34" x14ac:dyDescent="0.25">
      <c r="A10" s="7" t="s">
        <v>74</v>
      </c>
      <c r="B10" s="14" t="s">
        <v>52</v>
      </c>
      <c r="C10" s="7">
        <v>54</v>
      </c>
      <c r="D10" s="8">
        <v>28</v>
      </c>
      <c r="E10" s="42" t="s">
        <v>58</v>
      </c>
      <c r="F10" s="9">
        <v>3.13</v>
      </c>
      <c r="G10" s="7">
        <v>3058</v>
      </c>
      <c r="H10" s="8">
        <v>6510</v>
      </c>
      <c r="I10" s="8">
        <v>548</v>
      </c>
      <c r="J10" s="8">
        <v>1477</v>
      </c>
      <c r="K10" s="8">
        <v>1891</v>
      </c>
      <c r="L10" s="8">
        <v>2487</v>
      </c>
      <c r="M10" s="8">
        <v>905</v>
      </c>
      <c r="N10" s="8">
        <v>2507</v>
      </c>
      <c r="O10" s="8">
        <v>1820</v>
      </c>
      <c r="P10" s="8">
        <v>710</v>
      </c>
      <c r="Q10" s="8">
        <v>492</v>
      </c>
      <c r="R10" s="8">
        <v>1257</v>
      </c>
      <c r="S10" s="8">
        <v>1874</v>
      </c>
      <c r="T10" s="9">
        <v>8555</v>
      </c>
      <c r="U10" s="7">
        <v>2966</v>
      </c>
      <c r="V10" s="8">
        <v>6738</v>
      </c>
      <c r="W10" s="8">
        <v>601</v>
      </c>
      <c r="X10" s="8">
        <v>1643</v>
      </c>
      <c r="Y10" s="8">
        <v>1742</v>
      </c>
      <c r="Z10" s="8">
        <v>2228</v>
      </c>
      <c r="AA10" s="8">
        <v>991</v>
      </c>
      <c r="AB10" s="8">
        <v>2391</v>
      </c>
      <c r="AC10" s="8">
        <v>1756</v>
      </c>
      <c r="AD10" s="8">
        <v>648</v>
      </c>
      <c r="AE10" s="8">
        <v>447</v>
      </c>
      <c r="AF10" s="8">
        <v>1265</v>
      </c>
      <c r="AG10" s="8">
        <v>1944</v>
      </c>
      <c r="AH10" s="9">
        <v>8275</v>
      </c>
    </row>
    <row r="11" spans="1:34" x14ac:dyDescent="0.25">
      <c r="A11" s="7" t="s">
        <v>75</v>
      </c>
      <c r="B11" s="14" t="s">
        <v>52</v>
      </c>
      <c r="C11" s="7">
        <v>39</v>
      </c>
      <c r="D11" s="8">
        <v>43</v>
      </c>
      <c r="E11" s="42" t="s">
        <v>58</v>
      </c>
      <c r="F11" s="9">
        <v>-0.36</v>
      </c>
      <c r="G11" s="7">
        <v>2981</v>
      </c>
      <c r="H11" s="8">
        <v>6559</v>
      </c>
      <c r="I11" s="8">
        <v>377</v>
      </c>
      <c r="J11" s="8">
        <v>1079</v>
      </c>
      <c r="K11" s="8">
        <v>1388</v>
      </c>
      <c r="L11" s="8">
        <v>1849</v>
      </c>
      <c r="M11" s="8">
        <v>949</v>
      </c>
      <c r="N11" s="8">
        <v>2448</v>
      </c>
      <c r="O11" s="8">
        <v>1689</v>
      </c>
      <c r="P11" s="8">
        <v>493</v>
      </c>
      <c r="Q11" s="8">
        <v>377</v>
      </c>
      <c r="R11" s="8">
        <v>973</v>
      </c>
      <c r="S11" s="8">
        <v>1712</v>
      </c>
      <c r="T11" s="9">
        <v>7727</v>
      </c>
      <c r="U11" s="7">
        <v>2876</v>
      </c>
      <c r="V11" s="8">
        <v>6380</v>
      </c>
      <c r="W11" s="8">
        <v>435</v>
      </c>
      <c r="X11" s="8">
        <v>1228</v>
      </c>
      <c r="Y11" s="8">
        <v>1580</v>
      </c>
      <c r="Z11" s="8">
        <v>2039</v>
      </c>
      <c r="AA11" s="8">
        <v>861</v>
      </c>
      <c r="AB11" s="8">
        <v>2453</v>
      </c>
      <c r="AC11" s="8">
        <v>1651</v>
      </c>
      <c r="AD11" s="8">
        <v>461</v>
      </c>
      <c r="AE11" s="8">
        <v>342</v>
      </c>
      <c r="AF11" s="8">
        <v>964</v>
      </c>
      <c r="AG11" s="8">
        <v>1612</v>
      </c>
      <c r="AH11" s="9">
        <v>7767</v>
      </c>
    </row>
    <row r="12" spans="1:34" x14ac:dyDescent="0.25">
      <c r="A12" s="7" t="s">
        <v>17</v>
      </c>
      <c r="B12" s="14" t="s">
        <v>52</v>
      </c>
      <c r="C12" s="7">
        <v>29</v>
      </c>
      <c r="D12" s="8">
        <v>53</v>
      </c>
      <c r="E12" s="42" t="s">
        <v>59</v>
      </c>
      <c r="F12" s="9">
        <v>-3.8</v>
      </c>
      <c r="G12" s="7">
        <v>3231</v>
      </c>
      <c r="H12" s="8">
        <v>7055</v>
      </c>
      <c r="I12" s="8">
        <v>550</v>
      </c>
      <c r="J12" s="8">
        <v>1475</v>
      </c>
      <c r="K12" s="8">
        <v>1893</v>
      </c>
      <c r="L12" s="8">
        <v>2392</v>
      </c>
      <c r="M12" s="8">
        <v>953</v>
      </c>
      <c r="N12" s="8">
        <v>2492</v>
      </c>
      <c r="O12" s="8">
        <v>1711</v>
      </c>
      <c r="P12" s="8">
        <v>638</v>
      </c>
      <c r="Q12" s="8">
        <v>527</v>
      </c>
      <c r="R12" s="8">
        <v>1201</v>
      </c>
      <c r="S12" s="8">
        <v>1842</v>
      </c>
      <c r="T12" s="9">
        <v>8905</v>
      </c>
      <c r="U12" s="7">
        <v>3401</v>
      </c>
      <c r="V12" s="8">
        <v>7273</v>
      </c>
      <c r="W12" s="8">
        <v>582</v>
      </c>
      <c r="X12" s="8">
        <v>1531</v>
      </c>
      <c r="Y12" s="8">
        <v>1828</v>
      </c>
      <c r="Z12" s="8">
        <v>2346</v>
      </c>
      <c r="AA12" s="8">
        <v>1165</v>
      </c>
      <c r="AB12" s="8">
        <v>2695</v>
      </c>
      <c r="AC12" s="8">
        <v>1980</v>
      </c>
      <c r="AD12" s="8">
        <v>647</v>
      </c>
      <c r="AE12" s="8">
        <v>414</v>
      </c>
      <c r="AF12" s="8">
        <v>1229</v>
      </c>
      <c r="AG12" s="8">
        <v>1927</v>
      </c>
      <c r="AH12" s="9">
        <v>9212</v>
      </c>
    </row>
    <row r="13" spans="1:34" x14ac:dyDescent="0.25">
      <c r="A13" s="7" t="s">
        <v>65</v>
      </c>
      <c r="B13" s="14" t="s">
        <v>52</v>
      </c>
      <c r="C13" s="7">
        <v>53</v>
      </c>
      <c r="D13" s="8">
        <v>29</v>
      </c>
      <c r="E13" s="42" t="s">
        <v>58</v>
      </c>
      <c r="F13" s="9">
        <v>3.73</v>
      </c>
      <c r="G13" s="7">
        <v>2959</v>
      </c>
      <c r="H13" s="8">
        <v>6526</v>
      </c>
      <c r="I13" s="8">
        <v>621</v>
      </c>
      <c r="J13" s="8">
        <v>1656</v>
      </c>
      <c r="K13" s="8">
        <v>1531</v>
      </c>
      <c r="L13" s="8">
        <v>1903</v>
      </c>
      <c r="M13" s="8">
        <v>862</v>
      </c>
      <c r="N13" s="8">
        <v>2662</v>
      </c>
      <c r="O13" s="8">
        <v>1662</v>
      </c>
      <c r="P13" s="8">
        <v>548</v>
      </c>
      <c r="Q13" s="8">
        <v>355</v>
      </c>
      <c r="R13" s="8">
        <v>1158</v>
      </c>
      <c r="S13" s="8">
        <v>1553</v>
      </c>
      <c r="T13" s="9">
        <v>8070</v>
      </c>
      <c r="U13" s="7">
        <v>2991</v>
      </c>
      <c r="V13" s="8">
        <v>6735</v>
      </c>
      <c r="W13" s="8">
        <v>464</v>
      </c>
      <c r="X13" s="8">
        <v>1298</v>
      </c>
      <c r="Y13" s="8">
        <v>1296</v>
      </c>
      <c r="Z13" s="8">
        <v>1730</v>
      </c>
      <c r="AA13" s="8">
        <v>873</v>
      </c>
      <c r="AB13" s="8">
        <v>2399</v>
      </c>
      <c r="AC13" s="8">
        <v>1620</v>
      </c>
      <c r="AD13" s="8">
        <v>588</v>
      </c>
      <c r="AE13" s="8">
        <v>435</v>
      </c>
      <c r="AF13" s="8">
        <v>1012</v>
      </c>
      <c r="AG13" s="8">
        <v>1689</v>
      </c>
      <c r="AH13" s="9">
        <v>7742</v>
      </c>
    </row>
    <row r="14" spans="1:34" x14ac:dyDescent="0.25">
      <c r="A14" s="7" t="s">
        <v>19</v>
      </c>
      <c r="B14" s="14" t="s">
        <v>52</v>
      </c>
      <c r="C14" s="7">
        <v>36</v>
      </c>
      <c r="D14" s="8">
        <v>46</v>
      </c>
      <c r="E14" s="42" t="s">
        <v>59</v>
      </c>
      <c r="F14" s="9">
        <v>-0.76</v>
      </c>
      <c r="G14" s="7">
        <v>3220</v>
      </c>
      <c r="H14" s="8">
        <v>7080</v>
      </c>
      <c r="I14" s="8">
        <v>652</v>
      </c>
      <c r="J14" s="8">
        <v>1725</v>
      </c>
      <c r="K14" s="8">
        <v>1525</v>
      </c>
      <c r="L14" s="8">
        <v>1890</v>
      </c>
      <c r="M14" s="8">
        <v>924</v>
      </c>
      <c r="N14" s="8">
        <v>2661</v>
      </c>
      <c r="O14" s="8">
        <v>1775</v>
      </c>
      <c r="P14" s="8">
        <v>573</v>
      </c>
      <c r="Q14" s="8">
        <v>434</v>
      </c>
      <c r="R14" s="8">
        <v>1189</v>
      </c>
      <c r="S14" s="8">
        <v>1895</v>
      </c>
      <c r="T14" s="9">
        <v>8617</v>
      </c>
      <c r="U14" s="7">
        <v>3141</v>
      </c>
      <c r="V14" s="8">
        <v>6862</v>
      </c>
      <c r="W14" s="8">
        <v>569</v>
      </c>
      <c r="X14" s="8">
        <v>1519</v>
      </c>
      <c r="Y14" s="8">
        <v>1857</v>
      </c>
      <c r="Z14" s="8">
        <v>2431</v>
      </c>
      <c r="AA14" s="8">
        <v>909</v>
      </c>
      <c r="AB14" s="8">
        <v>2708</v>
      </c>
      <c r="AC14" s="8">
        <v>1731</v>
      </c>
      <c r="AD14" s="8">
        <v>635</v>
      </c>
      <c r="AE14" s="8">
        <v>444</v>
      </c>
      <c r="AF14" s="8">
        <v>1151</v>
      </c>
      <c r="AG14" s="8">
        <v>1692</v>
      </c>
      <c r="AH14" s="9">
        <v>8708</v>
      </c>
    </row>
    <row r="15" spans="1:34" x14ac:dyDescent="0.25">
      <c r="A15" s="7" t="s">
        <v>27</v>
      </c>
      <c r="B15" s="14" t="s">
        <v>52</v>
      </c>
      <c r="C15" s="7">
        <v>19</v>
      </c>
      <c r="D15" s="8">
        <v>63</v>
      </c>
      <c r="E15" s="42" t="s">
        <v>59</v>
      </c>
      <c r="F15" s="9">
        <v>-8.4600000000000009</v>
      </c>
      <c r="G15" s="7">
        <v>2955</v>
      </c>
      <c r="H15" s="8">
        <v>6696</v>
      </c>
      <c r="I15" s="8">
        <v>535</v>
      </c>
      <c r="J15" s="8">
        <v>1513</v>
      </c>
      <c r="K15" s="8">
        <v>1354</v>
      </c>
      <c r="L15" s="8">
        <v>1839</v>
      </c>
      <c r="M15" s="8">
        <v>890</v>
      </c>
      <c r="N15" s="8">
        <v>2377</v>
      </c>
      <c r="O15" s="8">
        <v>1723</v>
      </c>
      <c r="P15" s="8">
        <v>572</v>
      </c>
      <c r="Q15" s="8">
        <v>482</v>
      </c>
      <c r="R15" s="8">
        <v>1221</v>
      </c>
      <c r="S15" s="8">
        <v>1650</v>
      </c>
      <c r="T15" s="9">
        <v>7799</v>
      </c>
      <c r="U15" s="7">
        <v>3218</v>
      </c>
      <c r="V15" s="8">
        <v>6805</v>
      </c>
      <c r="W15" s="8">
        <v>536</v>
      </c>
      <c r="X15" s="8">
        <v>1431</v>
      </c>
      <c r="Y15" s="8">
        <v>1546</v>
      </c>
      <c r="Z15" s="8">
        <v>2035</v>
      </c>
      <c r="AA15" s="8">
        <v>962</v>
      </c>
      <c r="AB15" s="8">
        <v>2653</v>
      </c>
      <c r="AC15" s="8">
        <v>1951</v>
      </c>
      <c r="AD15" s="8">
        <v>652</v>
      </c>
      <c r="AE15" s="8">
        <v>414</v>
      </c>
      <c r="AF15" s="8">
        <v>1093</v>
      </c>
      <c r="AG15" s="8">
        <v>1609</v>
      </c>
      <c r="AH15" s="9">
        <v>8518</v>
      </c>
    </row>
    <row r="16" spans="1:34" x14ac:dyDescent="0.25">
      <c r="A16" s="7" t="s">
        <v>70</v>
      </c>
      <c r="B16" s="14" t="s">
        <v>52</v>
      </c>
      <c r="C16" s="7">
        <v>65</v>
      </c>
      <c r="D16" s="8">
        <v>17</v>
      </c>
      <c r="E16" s="42" t="s">
        <v>58</v>
      </c>
      <c r="F16" s="9">
        <v>7.11</v>
      </c>
      <c r="G16" s="7">
        <v>3307</v>
      </c>
      <c r="H16" s="8">
        <v>6981</v>
      </c>
      <c r="I16" s="8">
        <v>547</v>
      </c>
      <c r="J16" s="8">
        <v>1516</v>
      </c>
      <c r="K16" s="8">
        <v>1607</v>
      </c>
      <c r="L16" s="8">
        <v>2087</v>
      </c>
      <c r="M16" s="8">
        <v>1015</v>
      </c>
      <c r="N16" s="8">
        <v>2587</v>
      </c>
      <c r="O16" s="8">
        <v>1908</v>
      </c>
      <c r="P16" s="8">
        <v>718</v>
      </c>
      <c r="Q16" s="8">
        <v>420</v>
      </c>
      <c r="R16" s="8">
        <v>1103</v>
      </c>
      <c r="S16" s="8">
        <v>1698</v>
      </c>
      <c r="T16" s="9">
        <v>8768</v>
      </c>
      <c r="U16" s="7">
        <v>3050</v>
      </c>
      <c r="V16" s="8">
        <v>6825</v>
      </c>
      <c r="W16" s="8">
        <v>586</v>
      </c>
      <c r="X16" s="8">
        <v>1700</v>
      </c>
      <c r="Y16" s="8">
        <v>1454</v>
      </c>
      <c r="Z16" s="8">
        <v>1931</v>
      </c>
      <c r="AA16" s="8">
        <v>959</v>
      </c>
      <c r="AB16" s="8">
        <v>2440</v>
      </c>
      <c r="AC16" s="8">
        <v>1854</v>
      </c>
      <c r="AD16" s="8">
        <v>635</v>
      </c>
      <c r="AE16" s="8">
        <v>392</v>
      </c>
      <c r="AF16" s="8">
        <v>1275</v>
      </c>
      <c r="AG16" s="8">
        <v>1816</v>
      </c>
      <c r="AH16" s="9">
        <v>8140</v>
      </c>
    </row>
    <row r="17" spans="1:34" x14ac:dyDescent="0.25">
      <c r="A17" s="7" t="s">
        <v>28</v>
      </c>
      <c r="B17" s="14" t="s">
        <v>52</v>
      </c>
      <c r="C17" s="7">
        <v>24</v>
      </c>
      <c r="D17" s="8">
        <v>58</v>
      </c>
      <c r="E17" s="42" t="s">
        <v>59</v>
      </c>
      <c r="F17" s="9">
        <v>-5.22</v>
      </c>
      <c r="G17" s="7">
        <v>2865</v>
      </c>
      <c r="H17" s="8">
        <v>6311</v>
      </c>
      <c r="I17" s="8">
        <v>398</v>
      </c>
      <c r="J17" s="8">
        <v>1106</v>
      </c>
      <c r="K17" s="8">
        <v>1570</v>
      </c>
      <c r="L17" s="8">
        <v>2077</v>
      </c>
      <c r="M17" s="8">
        <v>847</v>
      </c>
      <c r="N17" s="8">
        <v>2337</v>
      </c>
      <c r="O17" s="8">
        <v>1423</v>
      </c>
      <c r="P17" s="8">
        <v>615</v>
      </c>
      <c r="Q17" s="8">
        <v>385</v>
      </c>
      <c r="R17" s="8">
        <v>1252</v>
      </c>
      <c r="S17" s="8">
        <v>1777</v>
      </c>
      <c r="T17" s="9">
        <v>7698</v>
      </c>
      <c r="U17" s="7">
        <v>3018</v>
      </c>
      <c r="V17" s="8">
        <v>6378</v>
      </c>
      <c r="W17" s="8">
        <v>536</v>
      </c>
      <c r="X17" s="8">
        <v>1510</v>
      </c>
      <c r="Y17" s="8">
        <v>1574</v>
      </c>
      <c r="Z17" s="8">
        <v>2043</v>
      </c>
      <c r="AA17" s="8">
        <v>842</v>
      </c>
      <c r="AB17" s="8">
        <v>2431</v>
      </c>
      <c r="AC17" s="8">
        <v>1735</v>
      </c>
      <c r="AD17" s="8">
        <v>632</v>
      </c>
      <c r="AE17" s="8">
        <v>443</v>
      </c>
      <c r="AF17" s="8">
        <v>1194</v>
      </c>
      <c r="AG17" s="8">
        <v>1786</v>
      </c>
      <c r="AH17" s="9">
        <v>8146</v>
      </c>
    </row>
    <row r="18" spans="1:34" x14ac:dyDescent="0.25">
      <c r="A18" s="7" t="s">
        <v>54</v>
      </c>
      <c r="B18" s="14" t="s">
        <v>52</v>
      </c>
      <c r="C18" s="7">
        <v>43</v>
      </c>
      <c r="D18" s="8">
        <v>39</v>
      </c>
      <c r="E18" s="42" t="s">
        <v>58</v>
      </c>
      <c r="F18" s="9">
        <v>0.49</v>
      </c>
      <c r="G18" s="7">
        <v>3034</v>
      </c>
      <c r="H18" s="8">
        <v>6646</v>
      </c>
      <c r="I18" s="8">
        <v>582</v>
      </c>
      <c r="J18" s="8">
        <v>1631</v>
      </c>
      <c r="K18" s="8">
        <v>1411</v>
      </c>
      <c r="L18" s="8">
        <v>1871</v>
      </c>
      <c r="M18" s="8">
        <v>828</v>
      </c>
      <c r="N18" s="8">
        <v>2411</v>
      </c>
      <c r="O18" s="8">
        <v>1671</v>
      </c>
      <c r="P18" s="8">
        <v>651</v>
      </c>
      <c r="Q18" s="8">
        <v>451</v>
      </c>
      <c r="R18" s="8">
        <v>1026</v>
      </c>
      <c r="S18" s="8">
        <v>1696</v>
      </c>
      <c r="T18" s="9">
        <v>8061</v>
      </c>
      <c r="U18" s="7">
        <v>2920</v>
      </c>
      <c r="V18" s="8">
        <v>6412</v>
      </c>
      <c r="W18" s="8">
        <v>591</v>
      </c>
      <c r="X18" s="8">
        <v>1519</v>
      </c>
      <c r="Y18" s="8">
        <v>1609</v>
      </c>
      <c r="Z18" s="8">
        <v>2086</v>
      </c>
      <c r="AA18" s="8">
        <v>896</v>
      </c>
      <c r="AB18" s="8">
        <v>2536</v>
      </c>
      <c r="AC18" s="8">
        <v>1646</v>
      </c>
      <c r="AD18" s="8">
        <v>528</v>
      </c>
      <c r="AE18" s="8">
        <v>335</v>
      </c>
      <c r="AF18" s="8">
        <v>1246</v>
      </c>
      <c r="AG18" s="8">
        <v>1632</v>
      </c>
      <c r="AH18" s="9">
        <v>8040</v>
      </c>
    </row>
    <row r="19" spans="1:34" x14ac:dyDescent="0.25">
      <c r="A19" s="7" t="s">
        <v>21</v>
      </c>
      <c r="B19" s="14" t="s">
        <v>52</v>
      </c>
      <c r="C19" s="7">
        <v>34</v>
      </c>
      <c r="D19" s="8">
        <v>48</v>
      </c>
      <c r="E19" s="42" t="s">
        <v>59</v>
      </c>
      <c r="F19" s="9">
        <v>-0.87</v>
      </c>
      <c r="G19" s="7">
        <v>3009</v>
      </c>
      <c r="H19" s="8">
        <v>6755</v>
      </c>
      <c r="I19" s="8">
        <v>511</v>
      </c>
      <c r="J19" s="8">
        <v>1408</v>
      </c>
      <c r="K19" s="8">
        <v>1613</v>
      </c>
      <c r="L19" s="8">
        <v>2067</v>
      </c>
      <c r="M19" s="8">
        <v>973</v>
      </c>
      <c r="N19" s="8">
        <v>2367</v>
      </c>
      <c r="O19" s="8">
        <v>1802</v>
      </c>
      <c r="P19" s="8">
        <v>609</v>
      </c>
      <c r="Q19" s="8">
        <v>308</v>
      </c>
      <c r="R19" s="8">
        <v>1154</v>
      </c>
      <c r="S19" s="8">
        <v>1986</v>
      </c>
      <c r="T19" s="9">
        <v>8142</v>
      </c>
      <c r="U19" s="7">
        <v>2854</v>
      </c>
      <c r="V19" s="8">
        <v>6233</v>
      </c>
      <c r="W19" s="8">
        <v>562</v>
      </c>
      <c r="X19" s="8">
        <v>1486</v>
      </c>
      <c r="Y19" s="8">
        <v>1961</v>
      </c>
      <c r="Z19" s="8">
        <v>2480</v>
      </c>
      <c r="AA19" s="8">
        <v>831</v>
      </c>
      <c r="AB19" s="8">
        <v>2527</v>
      </c>
      <c r="AC19" s="8">
        <v>1730</v>
      </c>
      <c r="AD19" s="8">
        <v>616</v>
      </c>
      <c r="AE19" s="8">
        <v>376</v>
      </c>
      <c r="AF19" s="8">
        <v>1350</v>
      </c>
      <c r="AG19" s="8">
        <v>1842</v>
      </c>
      <c r="AH19" s="9">
        <v>8231</v>
      </c>
    </row>
    <row r="20" spans="1:34" x14ac:dyDescent="0.25">
      <c r="A20" s="7" t="s">
        <v>24</v>
      </c>
      <c r="B20" s="14" t="s">
        <v>52</v>
      </c>
      <c r="C20" s="7">
        <v>24</v>
      </c>
      <c r="D20" s="8">
        <v>58</v>
      </c>
      <c r="E20" s="42" t="s">
        <v>59</v>
      </c>
      <c r="F20" s="9">
        <v>-4.74</v>
      </c>
      <c r="G20" s="7">
        <v>2986</v>
      </c>
      <c r="H20" s="8">
        <v>6766</v>
      </c>
      <c r="I20" s="8">
        <v>543</v>
      </c>
      <c r="J20" s="8">
        <v>1539</v>
      </c>
      <c r="K20" s="8">
        <v>1504</v>
      </c>
      <c r="L20" s="8">
        <v>1957</v>
      </c>
      <c r="M20" s="8">
        <v>975</v>
      </c>
      <c r="N20" s="8">
        <v>2442</v>
      </c>
      <c r="O20" s="8">
        <v>1674</v>
      </c>
      <c r="P20" s="8">
        <v>512</v>
      </c>
      <c r="Q20" s="8">
        <v>322</v>
      </c>
      <c r="R20" s="8">
        <v>1165</v>
      </c>
      <c r="S20" s="8">
        <v>1785</v>
      </c>
      <c r="T20" s="9">
        <v>8019</v>
      </c>
      <c r="U20" s="7">
        <v>3109</v>
      </c>
      <c r="V20" s="8">
        <v>6561</v>
      </c>
      <c r="W20" s="8">
        <v>536</v>
      </c>
      <c r="X20" s="8">
        <v>1420</v>
      </c>
      <c r="Y20" s="8">
        <v>1668</v>
      </c>
      <c r="Z20" s="8">
        <v>2145</v>
      </c>
      <c r="AA20" s="8">
        <v>813</v>
      </c>
      <c r="AB20" s="8">
        <v>2539</v>
      </c>
      <c r="AC20" s="8">
        <v>1765</v>
      </c>
      <c r="AD20" s="8">
        <v>610</v>
      </c>
      <c r="AE20" s="8">
        <v>484</v>
      </c>
      <c r="AF20" s="8">
        <v>1028</v>
      </c>
      <c r="AG20" s="8">
        <v>1642</v>
      </c>
      <c r="AH20" s="9">
        <v>8422</v>
      </c>
    </row>
    <row r="21" spans="1:34" x14ac:dyDescent="0.25">
      <c r="A21" s="7" t="s">
        <v>23</v>
      </c>
      <c r="B21" s="14" t="s">
        <v>52</v>
      </c>
      <c r="C21" s="7">
        <v>34</v>
      </c>
      <c r="D21" s="8">
        <v>48</v>
      </c>
      <c r="E21" s="42" t="s">
        <v>59</v>
      </c>
      <c r="F21" s="9">
        <v>-2.31</v>
      </c>
      <c r="G21" s="7">
        <v>2925</v>
      </c>
      <c r="H21" s="8">
        <v>6536</v>
      </c>
      <c r="I21" s="8">
        <v>652</v>
      </c>
      <c r="J21" s="8">
        <v>1735</v>
      </c>
      <c r="K21" s="8">
        <v>1542</v>
      </c>
      <c r="L21" s="8">
        <v>1980</v>
      </c>
      <c r="M21" s="8">
        <v>850</v>
      </c>
      <c r="N21" s="8">
        <v>2415</v>
      </c>
      <c r="O21" s="8">
        <v>1636</v>
      </c>
      <c r="P21" s="8">
        <v>559</v>
      </c>
      <c r="Q21" s="8">
        <v>391</v>
      </c>
      <c r="R21" s="8">
        <v>1075</v>
      </c>
      <c r="S21" s="8">
        <v>1838</v>
      </c>
      <c r="T21" s="9">
        <v>8044</v>
      </c>
      <c r="U21" s="7">
        <v>2953</v>
      </c>
      <c r="V21" s="8">
        <v>6385</v>
      </c>
      <c r="W21" s="8">
        <v>600</v>
      </c>
      <c r="X21" s="8">
        <v>1536</v>
      </c>
      <c r="Y21" s="8">
        <v>1738</v>
      </c>
      <c r="Z21" s="8">
        <v>2281</v>
      </c>
      <c r="AA21" s="8">
        <v>872</v>
      </c>
      <c r="AB21" s="8">
        <v>2523</v>
      </c>
      <c r="AC21" s="8">
        <v>1793</v>
      </c>
      <c r="AD21" s="8">
        <v>567</v>
      </c>
      <c r="AE21" s="8">
        <v>393</v>
      </c>
      <c r="AF21" s="8">
        <v>1103</v>
      </c>
      <c r="AG21" s="8">
        <v>1680</v>
      </c>
      <c r="AH21" s="9">
        <v>8244</v>
      </c>
    </row>
    <row r="22" spans="1:34" x14ac:dyDescent="0.25">
      <c r="A22" s="7" t="s">
        <v>71</v>
      </c>
      <c r="B22" s="14" t="s">
        <v>52</v>
      </c>
      <c r="C22" s="7">
        <v>49</v>
      </c>
      <c r="D22" s="8">
        <v>33</v>
      </c>
      <c r="E22" s="42" t="s">
        <v>58</v>
      </c>
      <c r="F22" s="9">
        <v>1.41</v>
      </c>
      <c r="G22" s="7">
        <v>2911</v>
      </c>
      <c r="H22" s="8">
        <v>6366</v>
      </c>
      <c r="I22" s="8">
        <v>556</v>
      </c>
      <c r="J22" s="8">
        <v>1526</v>
      </c>
      <c r="K22" s="8">
        <v>1479</v>
      </c>
      <c r="L22" s="8">
        <v>1833</v>
      </c>
      <c r="M22" s="8">
        <v>802</v>
      </c>
      <c r="N22" s="8">
        <v>2453</v>
      </c>
      <c r="O22" s="8">
        <v>1609</v>
      </c>
      <c r="P22" s="8">
        <v>593</v>
      </c>
      <c r="Q22" s="8">
        <v>338</v>
      </c>
      <c r="R22" s="8">
        <v>1029</v>
      </c>
      <c r="S22" s="8">
        <v>1665</v>
      </c>
      <c r="T22" s="9">
        <v>7857</v>
      </c>
      <c r="U22" s="7">
        <v>2851</v>
      </c>
      <c r="V22" s="8">
        <v>6329</v>
      </c>
      <c r="W22" s="8">
        <v>575</v>
      </c>
      <c r="X22" s="8">
        <v>1625</v>
      </c>
      <c r="Y22" s="8">
        <v>1453</v>
      </c>
      <c r="Z22" s="8">
        <v>1879</v>
      </c>
      <c r="AA22" s="8">
        <v>822</v>
      </c>
      <c r="AB22" s="8">
        <v>2459</v>
      </c>
      <c r="AC22" s="8">
        <v>1649</v>
      </c>
      <c r="AD22" s="8">
        <v>476</v>
      </c>
      <c r="AE22" s="8">
        <v>290</v>
      </c>
      <c r="AF22" s="8">
        <v>1089</v>
      </c>
      <c r="AG22" s="8">
        <v>1675</v>
      </c>
      <c r="AH22" s="9">
        <v>7730</v>
      </c>
    </row>
    <row r="23" spans="1:34" x14ac:dyDescent="0.25">
      <c r="A23" s="7" t="s">
        <v>18</v>
      </c>
      <c r="B23" s="14" t="s">
        <v>52</v>
      </c>
      <c r="C23" s="7">
        <v>32</v>
      </c>
      <c r="D23" s="8">
        <v>50</v>
      </c>
      <c r="E23" s="42" t="s">
        <v>59</v>
      </c>
      <c r="F23" s="9">
        <v>-2.33</v>
      </c>
      <c r="G23" s="7">
        <v>3157</v>
      </c>
      <c r="H23" s="8">
        <v>7091</v>
      </c>
      <c r="I23" s="8">
        <v>823</v>
      </c>
      <c r="J23" s="8">
        <v>2284</v>
      </c>
      <c r="K23" s="8">
        <v>1490</v>
      </c>
      <c r="L23" s="8">
        <v>1900</v>
      </c>
      <c r="M23" s="8">
        <v>911</v>
      </c>
      <c r="N23" s="8">
        <v>2545</v>
      </c>
      <c r="O23" s="8">
        <v>1738</v>
      </c>
      <c r="P23" s="8">
        <v>610</v>
      </c>
      <c r="Q23" s="8">
        <v>204</v>
      </c>
      <c r="R23" s="8">
        <v>1174</v>
      </c>
      <c r="S23" s="8">
        <v>1672</v>
      </c>
      <c r="T23" s="9">
        <v>8627</v>
      </c>
      <c r="U23" s="7">
        <v>3378</v>
      </c>
      <c r="V23" s="8">
        <v>7041</v>
      </c>
      <c r="W23" s="8">
        <v>571</v>
      </c>
      <c r="X23" s="8">
        <v>1625</v>
      </c>
      <c r="Y23" s="8">
        <v>1514</v>
      </c>
      <c r="Z23" s="8">
        <v>1998</v>
      </c>
      <c r="AA23" s="8">
        <v>954</v>
      </c>
      <c r="AB23" s="8">
        <v>2826</v>
      </c>
      <c r="AC23" s="8">
        <v>1774</v>
      </c>
      <c r="AD23" s="8">
        <v>654</v>
      </c>
      <c r="AE23" s="8">
        <v>437</v>
      </c>
      <c r="AF23" s="8">
        <v>1188</v>
      </c>
      <c r="AG23" s="8">
        <v>1592</v>
      </c>
      <c r="AH23" s="9">
        <v>8841</v>
      </c>
    </row>
    <row r="24" spans="1:34" x14ac:dyDescent="0.25">
      <c r="A24" s="7" t="s">
        <v>25</v>
      </c>
      <c r="B24" s="14" t="s">
        <v>52</v>
      </c>
      <c r="C24" s="7">
        <v>23</v>
      </c>
      <c r="D24" s="8">
        <v>59</v>
      </c>
      <c r="E24" s="42" t="s">
        <v>59</v>
      </c>
      <c r="F24" s="9">
        <v>-6.03</v>
      </c>
      <c r="G24" s="7">
        <v>2999</v>
      </c>
      <c r="H24" s="8">
        <v>6716</v>
      </c>
      <c r="I24" s="8">
        <v>328</v>
      </c>
      <c r="J24" s="8">
        <v>949</v>
      </c>
      <c r="K24" s="8">
        <v>1626</v>
      </c>
      <c r="L24" s="8">
        <v>2069</v>
      </c>
      <c r="M24" s="8">
        <v>999</v>
      </c>
      <c r="N24" s="8">
        <v>2497</v>
      </c>
      <c r="O24" s="8">
        <v>1663</v>
      </c>
      <c r="P24" s="8">
        <v>608</v>
      </c>
      <c r="Q24" s="8">
        <v>371</v>
      </c>
      <c r="R24" s="8">
        <v>1330</v>
      </c>
      <c r="S24" s="8">
        <v>1655</v>
      </c>
      <c r="T24" s="9">
        <v>7952</v>
      </c>
      <c r="U24" s="7">
        <v>3230</v>
      </c>
      <c r="V24" s="8">
        <v>6799</v>
      </c>
      <c r="W24" s="8">
        <v>524</v>
      </c>
      <c r="X24" s="8">
        <v>1439</v>
      </c>
      <c r="Y24" s="8">
        <v>1468</v>
      </c>
      <c r="Z24" s="8">
        <v>1930</v>
      </c>
      <c r="AA24" s="8">
        <v>884</v>
      </c>
      <c r="AB24" s="8">
        <v>2496</v>
      </c>
      <c r="AC24" s="8">
        <v>1769</v>
      </c>
      <c r="AD24" s="8">
        <v>697</v>
      </c>
      <c r="AE24" s="8">
        <v>407</v>
      </c>
      <c r="AF24" s="8">
        <v>1140</v>
      </c>
      <c r="AG24" s="8">
        <v>1656</v>
      </c>
      <c r="AH24" s="9">
        <v>8452</v>
      </c>
    </row>
    <row r="25" spans="1:34" x14ac:dyDescent="0.25">
      <c r="A25" s="7" t="s">
        <v>66</v>
      </c>
      <c r="B25" s="14" t="s">
        <v>52</v>
      </c>
      <c r="C25" s="7">
        <v>59</v>
      </c>
      <c r="D25" s="8">
        <v>23</v>
      </c>
      <c r="E25" s="42" t="s">
        <v>58</v>
      </c>
      <c r="F25" s="9">
        <v>6.49</v>
      </c>
      <c r="G25" s="7">
        <v>2929</v>
      </c>
      <c r="H25" s="8">
        <v>6416</v>
      </c>
      <c r="I25" s="8">
        <v>817</v>
      </c>
      <c r="J25" s="8">
        <v>2147</v>
      </c>
      <c r="K25" s="8">
        <v>1611</v>
      </c>
      <c r="L25" s="8">
        <v>2253</v>
      </c>
      <c r="M25" s="8">
        <v>819</v>
      </c>
      <c r="N25" s="8">
        <v>2728</v>
      </c>
      <c r="O25" s="8">
        <v>1593</v>
      </c>
      <c r="P25" s="8">
        <v>570</v>
      </c>
      <c r="Q25" s="8">
        <v>439</v>
      </c>
      <c r="R25" s="8">
        <v>1142</v>
      </c>
      <c r="S25" s="8">
        <v>1664</v>
      </c>
      <c r="T25" s="9">
        <v>8286</v>
      </c>
      <c r="U25" s="7">
        <v>2936</v>
      </c>
      <c r="V25" s="8">
        <v>6785</v>
      </c>
      <c r="W25" s="8">
        <v>444</v>
      </c>
      <c r="X25" s="8">
        <v>1297</v>
      </c>
      <c r="Y25" s="8">
        <v>1421</v>
      </c>
      <c r="Z25" s="8">
        <v>1882</v>
      </c>
      <c r="AA25" s="8">
        <v>864</v>
      </c>
      <c r="AB25" s="8">
        <v>2591</v>
      </c>
      <c r="AC25" s="8">
        <v>1488</v>
      </c>
      <c r="AD25" s="8">
        <v>564</v>
      </c>
      <c r="AE25" s="8">
        <v>308</v>
      </c>
      <c r="AF25" s="8">
        <v>1072</v>
      </c>
      <c r="AG25" s="8">
        <v>1840</v>
      </c>
      <c r="AH25" s="9">
        <v>7737</v>
      </c>
    </row>
    <row r="26" spans="1:34" x14ac:dyDescent="0.25">
      <c r="A26" s="7" t="s">
        <v>63</v>
      </c>
      <c r="B26" s="14" t="s">
        <v>52</v>
      </c>
      <c r="C26" s="7">
        <v>41</v>
      </c>
      <c r="D26" s="8">
        <v>41</v>
      </c>
      <c r="E26" s="42" t="s">
        <v>58</v>
      </c>
      <c r="F26" s="9">
        <v>0.16</v>
      </c>
      <c r="G26" s="7">
        <v>2997</v>
      </c>
      <c r="H26" s="8">
        <v>6532</v>
      </c>
      <c r="I26" s="8">
        <v>341</v>
      </c>
      <c r="J26" s="8">
        <v>1072</v>
      </c>
      <c r="K26" s="8">
        <v>1652</v>
      </c>
      <c r="L26" s="8">
        <v>2216</v>
      </c>
      <c r="M26" s="8">
        <v>1039</v>
      </c>
      <c r="N26" s="8">
        <v>2336</v>
      </c>
      <c r="O26" s="8">
        <v>1647</v>
      </c>
      <c r="P26" s="8">
        <v>658</v>
      </c>
      <c r="Q26" s="8">
        <v>415</v>
      </c>
      <c r="R26" s="8">
        <v>1157</v>
      </c>
      <c r="S26" s="8">
        <v>1650</v>
      </c>
      <c r="T26" s="9">
        <v>7987</v>
      </c>
      <c r="U26" s="7">
        <v>2997</v>
      </c>
      <c r="V26" s="8">
        <v>6489</v>
      </c>
      <c r="W26" s="8">
        <v>585</v>
      </c>
      <c r="X26" s="8">
        <v>1595</v>
      </c>
      <c r="Y26" s="8">
        <v>1402</v>
      </c>
      <c r="Z26" s="8">
        <v>1792</v>
      </c>
      <c r="AA26" s="8">
        <v>935</v>
      </c>
      <c r="AB26" s="8">
        <v>2285</v>
      </c>
      <c r="AC26" s="8">
        <v>1799</v>
      </c>
      <c r="AD26" s="8">
        <v>575</v>
      </c>
      <c r="AE26" s="8">
        <v>400</v>
      </c>
      <c r="AF26" s="8">
        <v>1278</v>
      </c>
      <c r="AG26" s="8">
        <v>1786</v>
      </c>
      <c r="AH26" s="9">
        <v>7981</v>
      </c>
    </row>
    <row r="27" spans="1:34" x14ac:dyDescent="0.25">
      <c r="A27" s="7" t="s">
        <v>16</v>
      </c>
      <c r="B27" s="14" t="s">
        <v>52</v>
      </c>
      <c r="C27" s="7">
        <v>46</v>
      </c>
      <c r="D27" s="8">
        <v>36</v>
      </c>
      <c r="E27" s="42" t="s">
        <v>59</v>
      </c>
      <c r="F27" s="9">
        <v>1.62</v>
      </c>
      <c r="G27" s="7">
        <v>3373</v>
      </c>
      <c r="H27" s="8">
        <v>6695</v>
      </c>
      <c r="I27" s="8">
        <v>553</v>
      </c>
      <c r="J27" s="8">
        <v>1445</v>
      </c>
      <c r="K27" s="8">
        <v>1675</v>
      </c>
      <c r="L27" s="8">
        <v>2251</v>
      </c>
      <c r="M27" s="8">
        <v>900</v>
      </c>
      <c r="N27" s="8">
        <v>2520</v>
      </c>
      <c r="O27" s="8">
        <v>1905</v>
      </c>
      <c r="P27" s="8">
        <v>589</v>
      </c>
      <c r="Q27" s="8">
        <v>420</v>
      </c>
      <c r="R27" s="8">
        <v>1288</v>
      </c>
      <c r="S27" s="8">
        <v>1691</v>
      </c>
      <c r="T27" s="9">
        <v>8974</v>
      </c>
      <c r="U27" s="7">
        <v>3278</v>
      </c>
      <c r="V27" s="8">
        <v>7025</v>
      </c>
      <c r="W27" s="8">
        <v>626</v>
      </c>
      <c r="X27" s="8">
        <v>1635</v>
      </c>
      <c r="Y27" s="8">
        <v>1634</v>
      </c>
      <c r="Z27" s="8">
        <v>2108</v>
      </c>
      <c r="AA27" s="8">
        <v>993</v>
      </c>
      <c r="AB27" s="8">
        <v>2352</v>
      </c>
      <c r="AC27" s="8">
        <v>1741</v>
      </c>
      <c r="AD27" s="8">
        <v>706</v>
      </c>
      <c r="AE27" s="8">
        <v>369</v>
      </c>
      <c r="AF27" s="8">
        <v>1165</v>
      </c>
      <c r="AG27" s="8">
        <v>1877</v>
      </c>
      <c r="AH27" s="9">
        <v>8816</v>
      </c>
    </row>
    <row r="28" spans="1:34" x14ac:dyDescent="0.25">
      <c r="A28" s="7" t="s">
        <v>55</v>
      </c>
      <c r="B28" s="14" t="s">
        <v>52</v>
      </c>
      <c r="C28" s="7">
        <v>54</v>
      </c>
      <c r="D28" s="8">
        <v>28</v>
      </c>
      <c r="E28" s="42" t="s">
        <v>58</v>
      </c>
      <c r="F28" s="9">
        <v>5</v>
      </c>
      <c r="G28" s="7">
        <v>3018</v>
      </c>
      <c r="H28" s="8">
        <v>6494</v>
      </c>
      <c r="I28" s="8">
        <v>596</v>
      </c>
      <c r="J28" s="8">
        <v>1555</v>
      </c>
      <c r="K28" s="8">
        <v>1521</v>
      </c>
      <c r="L28" s="8">
        <v>1988</v>
      </c>
      <c r="M28" s="8">
        <v>1060</v>
      </c>
      <c r="N28" s="8">
        <v>2360</v>
      </c>
      <c r="O28" s="8">
        <v>1667</v>
      </c>
      <c r="P28" s="8">
        <v>550</v>
      </c>
      <c r="Q28" s="8">
        <v>402</v>
      </c>
      <c r="R28" s="8">
        <v>1055</v>
      </c>
      <c r="S28" s="8">
        <v>1671</v>
      </c>
      <c r="T28" s="9">
        <v>8153</v>
      </c>
      <c r="U28" s="7">
        <v>2899</v>
      </c>
      <c r="V28" s="8">
        <v>6302</v>
      </c>
      <c r="W28" s="8">
        <v>487</v>
      </c>
      <c r="X28" s="8">
        <v>1301</v>
      </c>
      <c r="Y28" s="8">
        <v>1430</v>
      </c>
      <c r="Z28" s="8">
        <v>1780</v>
      </c>
      <c r="AA28" s="8">
        <v>786</v>
      </c>
      <c r="AB28" s="8">
        <v>2190</v>
      </c>
      <c r="AC28" s="8">
        <v>1590</v>
      </c>
      <c r="AD28" s="8">
        <v>514</v>
      </c>
      <c r="AE28" s="8">
        <v>319</v>
      </c>
      <c r="AF28" s="8">
        <v>1082</v>
      </c>
      <c r="AG28" s="8">
        <v>1733</v>
      </c>
      <c r="AH28" s="9">
        <v>7715</v>
      </c>
    </row>
    <row r="29" spans="1:34" x14ac:dyDescent="0.25">
      <c r="A29" s="7" t="s">
        <v>20</v>
      </c>
      <c r="B29" s="14" t="s">
        <v>52</v>
      </c>
      <c r="C29" s="7">
        <v>17</v>
      </c>
      <c r="D29" s="8">
        <v>65</v>
      </c>
      <c r="E29" s="42" t="s">
        <v>59</v>
      </c>
      <c r="F29" s="9">
        <v>-8.59</v>
      </c>
      <c r="G29" s="7">
        <v>2990</v>
      </c>
      <c r="H29" s="8">
        <v>6685</v>
      </c>
      <c r="I29" s="8">
        <v>586</v>
      </c>
      <c r="J29" s="8">
        <v>1594</v>
      </c>
      <c r="K29" s="8">
        <v>1682</v>
      </c>
      <c r="L29" s="8">
        <v>2107</v>
      </c>
      <c r="M29" s="8">
        <v>840</v>
      </c>
      <c r="N29" s="8">
        <v>2366</v>
      </c>
      <c r="O29" s="8">
        <v>1619</v>
      </c>
      <c r="P29" s="8">
        <v>569</v>
      </c>
      <c r="Q29" s="8">
        <v>349</v>
      </c>
      <c r="R29" s="8">
        <v>1266</v>
      </c>
      <c r="S29" s="8">
        <v>1910</v>
      </c>
      <c r="T29" s="9">
        <v>8248</v>
      </c>
      <c r="U29" s="7">
        <v>3281</v>
      </c>
      <c r="V29" s="8">
        <v>6792</v>
      </c>
      <c r="W29" s="8">
        <v>580</v>
      </c>
      <c r="X29" s="8">
        <v>1430</v>
      </c>
      <c r="Y29" s="8">
        <v>1824</v>
      </c>
      <c r="Z29" s="8">
        <v>2412</v>
      </c>
      <c r="AA29" s="8">
        <v>1018</v>
      </c>
      <c r="AB29" s="8">
        <v>2592</v>
      </c>
      <c r="AC29" s="8">
        <v>1796</v>
      </c>
      <c r="AD29" s="8">
        <v>704</v>
      </c>
      <c r="AE29" s="8">
        <v>423</v>
      </c>
      <c r="AF29" s="8">
        <v>1178</v>
      </c>
      <c r="AG29" s="8">
        <v>1737</v>
      </c>
      <c r="AH29" s="9">
        <v>8966</v>
      </c>
    </row>
    <row r="30" spans="1:34" x14ac:dyDescent="0.25">
      <c r="A30" s="7" t="s">
        <v>76</v>
      </c>
      <c r="B30" s="14" t="s">
        <v>52</v>
      </c>
      <c r="C30" s="7">
        <v>54</v>
      </c>
      <c r="D30" s="8">
        <v>28</v>
      </c>
      <c r="E30" s="42" t="s">
        <v>58</v>
      </c>
      <c r="F30" s="9">
        <v>3.36</v>
      </c>
      <c r="G30" s="7">
        <v>3042</v>
      </c>
      <c r="H30" s="8">
        <v>6534</v>
      </c>
      <c r="I30" s="8">
        <v>625</v>
      </c>
      <c r="J30" s="8">
        <v>1620</v>
      </c>
      <c r="K30" s="8">
        <v>1249</v>
      </c>
      <c r="L30" s="8">
        <v>1641</v>
      </c>
      <c r="M30" s="8">
        <v>728</v>
      </c>
      <c r="N30" s="8">
        <v>2638</v>
      </c>
      <c r="O30" s="8">
        <v>1736</v>
      </c>
      <c r="P30" s="8">
        <v>474</v>
      </c>
      <c r="Q30" s="8">
        <v>329</v>
      </c>
      <c r="R30" s="8">
        <v>963</v>
      </c>
      <c r="S30" s="8">
        <v>1546</v>
      </c>
      <c r="T30" s="9">
        <v>7958</v>
      </c>
      <c r="U30" s="7">
        <v>2973</v>
      </c>
      <c r="V30" s="8">
        <v>6568</v>
      </c>
      <c r="W30" s="8">
        <v>447</v>
      </c>
      <c r="X30" s="8">
        <v>1180</v>
      </c>
      <c r="Y30" s="8">
        <v>1257</v>
      </c>
      <c r="Z30" s="8">
        <v>1635</v>
      </c>
      <c r="AA30" s="8">
        <v>745</v>
      </c>
      <c r="AB30" s="8">
        <v>2570</v>
      </c>
      <c r="AC30" s="8">
        <v>1481</v>
      </c>
      <c r="AD30" s="8">
        <v>531</v>
      </c>
      <c r="AE30" s="8">
        <v>352</v>
      </c>
      <c r="AF30" s="8">
        <v>961</v>
      </c>
      <c r="AG30" s="8">
        <v>1511</v>
      </c>
      <c r="AH30" s="9">
        <v>7650</v>
      </c>
    </row>
    <row r="31" spans="1:34" x14ac:dyDescent="0.25">
      <c r="A31" s="7" t="s">
        <v>22</v>
      </c>
      <c r="B31" s="14" t="s">
        <v>52</v>
      </c>
      <c r="C31" s="7">
        <v>33</v>
      </c>
      <c r="D31" s="8">
        <v>49</v>
      </c>
      <c r="E31" s="42" t="s">
        <v>59</v>
      </c>
      <c r="F31" s="9">
        <v>-2.5299999999999998</v>
      </c>
      <c r="G31" s="7">
        <v>3054</v>
      </c>
      <c r="H31" s="8">
        <v>6673</v>
      </c>
      <c r="I31" s="8">
        <v>479</v>
      </c>
      <c r="J31" s="8">
        <v>1289</v>
      </c>
      <c r="K31" s="8">
        <v>1534</v>
      </c>
      <c r="L31" s="8">
        <v>1861</v>
      </c>
      <c r="M31" s="8">
        <v>802</v>
      </c>
      <c r="N31" s="8">
        <v>2513</v>
      </c>
      <c r="O31" s="8">
        <v>1835</v>
      </c>
      <c r="P31" s="8">
        <v>523</v>
      </c>
      <c r="Q31" s="8">
        <v>390</v>
      </c>
      <c r="R31" s="8">
        <v>1098</v>
      </c>
      <c r="S31" s="8">
        <v>1593</v>
      </c>
      <c r="T31" s="9">
        <v>8121</v>
      </c>
      <c r="U31" s="7">
        <v>3172</v>
      </c>
      <c r="V31" s="8">
        <v>6827</v>
      </c>
      <c r="W31" s="8">
        <v>629</v>
      </c>
      <c r="X31" s="8">
        <v>1716</v>
      </c>
      <c r="Y31" s="8">
        <v>1379</v>
      </c>
      <c r="Z31" s="8">
        <v>1759</v>
      </c>
      <c r="AA31" s="8">
        <v>895</v>
      </c>
      <c r="AB31" s="8">
        <v>2539</v>
      </c>
      <c r="AC31" s="8">
        <v>1887</v>
      </c>
      <c r="AD31" s="8">
        <v>521</v>
      </c>
      <c r="AE31" s="8">
        <v>386</v>
      </c>
      <c r="AF31" s="8">
        <v>1093</v>
      </c>
      <c r="AG31" s="8">
        <v>1645</v>
      </c>
      <c r="AH31" s="9">
        <v>8352</v>
      </c>
    </row>
    <row r="32" spans="1:34" x14ac:dyDescent="0.25">
      <c r="A32" s="7" t="s">
        <v>67</v>
      </c>
      <c r="B32" s="14" t="s">
        <v>52</v>
      </c>
      <c r="C32" s="7">
        <v>48</v>
      </c>
      <c r="D32" s="8">
        <v>34</v>
      </c>
      <c r="E32" s="42" t="s">
        <v>58</v>
      </c>
      <c r="F32" s="9">
        <v>2.31</v>
      </c>
      <c r="G32" s="7">
        <v>3143</v>
      </c>
      <c r="H32" s="8">
        <v>6623</v>
      </c>
      <c r="I32" s="8">
        <v>392</v>
      </c>
      <c r="J32" s="8">
        <v>1122</v>
      </c>
      <c r="K32" s="8">
        <v>1814</v>
      </c>
      <c r="L32" s="8">
        <v>2352</v>
      </c>
      <c r="M32" s="8">
        <v>940</v>
      </c>
      <c r="N32" s="8">
        <v>2423</v>
      </c>
      <c r="O32" s="8">
        <v>2024</v>
      </c>
      <c r="P32" s="8">
        <v>719</v>
      </c>
      <c r="Q32" s="8">
        <v>374</v>
      </c>
      <c r="R32" s="8">
        <v>1210</v>
      </c>
      <c r="S32" s="8">
        <v>1830</v>
      </c>
      <c r="T32" s="9">
        <v>8492</v>
      </c>
      <c r="U32" s="7">
        <v>3019</v>
      </c>
      <c r="V32" s="8">
        <v>6509</v>
      </c>
      <c r="W32" s="8">
        <v>534</v>
      </c>
      <c r="X32" s="8">
        <v>1479</v>
      </c>
      <c r="Y32" s="8">
        <v>1703</v>
      </c>
      <c r="Z32" s="8">
        <v>2233</v>
      </c>
      <c r="AA32" s="8">
        <v>908</v>
      </c>
      <c r="AB32" s="8">
        <v>2393</v>
      </c>
      <c r="AC32" s="8">
        <v>1640</v>
      </c>
      <c r="AD32" s="8">
        <v>658</v>
      </c>
      <c r="AE32" s="8">
        <v>424</v>
      </c>
      <c r="AF32" s="8">
        <v>1323</v>
      </c>
      <c r="AG32" s="8">
        <v>1972</v>
      </c>
      <c r="AH32" s="9">
        <v>8275</v>
      </c>
    </row>
    <row r="33" spans="1:34" ht="15.75" thickBot="1" x14ac:dyDescent="0.3">
      <c r="A33" s="10" t="s">
        <v>26</v>
      </c>
      <c r="B33" s="15" t="s">
        <v>52</v>
      </c>
      <c r="C33" s="10">
        <v>19</v>
      </c>
      <c r="D33" s="11">
        <v>63</v>
      </c>
      <c r="E33" s="43" t="s">
        <v>59</v>
      </c>
      <c r="F33" s="12">
        <v>-6.98</v>
      </c>
      <c r="G33" s="10">
        <v>2994</v>
      </c>
      <c r="H33" s="11">
        <v>6655</v>
      </c>
      <c r="I33" s="11">
        <v>395</v>
      </c>
      <c r="J33" s="11">
        <v>1198</v>
      </c>
      <c r="K33" s="11">
        <v>1494</v>
      </c>
      <c r="L33" s="11">
        <v>1948</v>
      </c>
      <c r="M33" s="11">
        <v>956</v>
      </c>
      <c r="N33" s="11">
        <v>2330</v>
      </c>
      <c r="O33" s="11">
        <v>1641</v>
      </c>
      <c r="P33" s="11">
        <v>619</v>
      </c>
      <c r="Q33" s="11">
        <v>365</v>
      </c>
      <c r="R33" s="11">
        <v>1146</v>
      </c>
      <c r="S33" s="11">
        <v>1679</v>
      </c>
      <c r="T33" s="12">
        <v>7877</v>
      </c>
      <c r="U33" s="10">
        <v>3164</v>
      </c>
      <c r="V33" s="11">
        <v>6565</v>
      </c>
      <c r="W33" s="11">
        <v>674</v>
      </c>
      <c r="X33" s="11">
        <v>1740</v>
      </c>
      <c r="Y33" s="11">
        <v>1487</v>
      </c>
      <c r="Z33" s="11">
        <v>1959</v>
      </c>
      <c r="AA33" s="11">
        <v>934</v>
      </c>
      <c r="AB33" s="11">
        <v>2491</v>
      </c>
      <c r="AC33" s="11">
        <v>2015</v>
      </c>
      <c r="AD33" s="11">
        <v>593</v>
      </c>
      <c r="AE33" s="11">
        <v>431</v>
      </c>
      <c r="AF33" s="11">
        <v>1140</v>
      </c>
      <c r="AG33" s="11">
        <v>1638</v>
      </c>
      <c r="AH33" s="12">
        <v>8489</v>
      </c>
    </row>
    <row r="34" spans="1:34" x14ac:dyDescent="0.25">
      <c r="A34" s="4" t="s">
        <v>60</v>
      </c>
      <c r="B34" s="13" t="s">
        <v>57</v>
      </c>
      <c r="C34" s="4">
        <v>37</v>
      </c>
      <c r="D34" s="5">
        <v>45</v>
      </c>
      <c r="E34" s="41" t="s">
        <v>58</v>
      </c>
      <c r="F34" s="6">
        <v>-2.23</v>
      </c>
      <c r="G34" s="4">
        <v>2975</v>
      </c>
      <c r="H34" s="5">
        <v>6552</v>
      </c>
      <c r="I34" s="5">
        <v>384</v>
      </c>
      <c r="J34" s="5">
        <v>1078</v>
      </c>
      <c r="K34" s="5">
        <v>1720</v>
      </c>
      <c r="L34" s="5">
        <v>2227</v>
      </c>
      <c r="M34" s="5">
        <v>1008</v>
      </c>
      <c r="N34" s="5">
        <v>2454</v>
      </c>
      <c r="O34" s="5">
        <v>1804</v>
      </c>
      <c r="P34" s="5">
        <v>600</v>
      </c>
      <c r="Q34" s="5">
        <v>448</v>
      </c>
      <c r="R34" s="5">
        <v>1223</v>
      </c>
      <c r="S34" s="5">
        <v>1673</v>
      </c>
      <c r="T34" s="6">
        <v>8054</v>
      </c>
      <c r="U34" s="4">
        <v>3115</v>
      </c>
      <c r="V34" s="5">
        <v>6733</v>
      </c>
      <c r="W34" s="5">
        <v>512</v>
      </c>
      <c r="X34" s="5">
        <v>1413</v>
      </c>
      <c r="Y34" s="5">
        <v>1461</v>
      </c>
      <c r="Z34" s="5">
        <v>1943</v>
      </c>
      <c r="AA34" s="5">
        <v>968</v>
      </c>
      <c r="AB34" s="5">
        <v>2386</v>
      </c>
      <c r="AC34" s="5">
        <v>1825</v>
      </c>
      <c r="AD34" s="5">
        <v>615</v>
      </c>
      <c r="AE34" s="5">
        <v>421</v>
      </c>
      <c r="AF34" s="5">
        <v>1123</v>
      </c>
      <c r="AG34" s="5">
        <v>1793</v>
      </c>
      <c r="AH34" s="6">
        <v>8203</v>
      </c>
    </row>
    <row r="35" spans="1:34" x14ac:dyDescent="0.25">
      <c r="A35" s="7" t="s">
        <v>61</v>
      </c>
      <c r="B35" s="14" t="s">
        <v>57</v>
      </c>
      <c r="C35" s="7">
        <v>66</v>
      </c>
      <c r="D35" s="8">
        <v>16</v>
      </c>
      <c r="E35" s="42" t="s">
        <v>58</v>
      </c>
      <c r="F35" s="9">
        <v>9.31</v>
      </c>
      <c r="G35" s="7">
        <v>2986</v>
      </c>
      <c r="H35" s="8">
        <v>6286</v>
      </c>
      <c r="I35" s="8">
        <v>596</v>
      </c>
      <c r="J35" s="8">
        <v>1564</v>
      </c>
      <c r="K35" s="8">
        <v>1677</v>
      </c>
      <c r="L35" s="8">
        <v>2176</v>
      </c>
      <c r="M35" s="8">
        <v>830</v>
      </c>
      <c r="N35" s="8">
        <v>2615</v>
      </c>
      <c r="O35" s="8">
        <v>1833</v>
      </c>
      <c r="P35" s="8">
        <v>696</v>
      </c>
      <c r="Q35" s="8">
        <v>379</v>
      </c>
      <c r="R35" s="8">
        <v>1246</v>
      </c>
      <c r="S35" s="8">
        <v>1864</v>
      </c>
      <c r="T35" s="9">
        <v>8245</v>
      </c>
      <c r="U35" s="7">
        <v>2657</v>
      </c>
      <c r="V35" s="8">
        <v>6341</v>
      </c>
      <c r="W35" s="8">
        <v>485</v>
      </c>
      <c r="X35" s="8">
        <v>1535</v>
      </c>
      <c r="Y35" s="8">
        <v>1605</v>
      </c>
      <c r="Z35" s="8">
        <v>2160</v>
      </c>
      <c r="AA35" s="8">
        <v>899</v>
      </c>
      <c r="AB35" s="8">
        <v>2290</v>
      </c>
      <c r="AC35" s="8">
        <v>1539</v>
      </c>
      <c r="AD35" s="8">
        <v>594</v>
      </c>
      <c r="AE35" s="8">
        <v>389</v>
      </c>
      <c r="AF35" s="8">
        <v>1308</v>
      </c>
      <c r="AG35" s="8">
        <v>1818</v>
      </c>
      <c r="AH35" s="9">
        <v>7404</v>
      </c>
    </row>
    <row r="36" spans="1:34" x14ac:dyDescent="0.25">
      <c r="A36" s="7" t="s">
        <v>29</v>
      </c>
      <c r="B36" s="14" t="s">
        <v>57</v>
      </c>
      <c r="C36" s="7">
        <v>32</v>
      </c>
      <c r="D36" s="8">
        <v>50</v>
      </c>
      <c r="E36" s="42" t="s">
        <v>59</v>
      </c>
      <c r="F36" s="9">
        <v>-4.4800000000000004</v>
      </c>
      <c r="G36" s="7">
        <v>2960</v>
      </c>
      <c r="H36" s="8">
        <v>6554</v>
      </c>
      <c r="I36" s="8">
        <v>529</v>
      </c>
      <c r="J36" s="8">
        <v>1443</v>
      </c>
      <c r="K36" s="8">
        <v>1510</v>
      </c>
      <c r="L36" s="8">
        <v>2115</v>
      </c>
      <c r="M36" s="8">
        <v>892</v>
      </c>
      <c r="N36" s="8">
        <v>2440</v>
      </c>
      <c r="O36" s="8">
        <v>1748</v>
      </c>
      <c r="P36" s="8">
        <v>614</v>
      </c>
      <c r="Q36" s="8">
        <v>402</v>
      </c>
      <c r="R36" s="8">
        <v>1204</v>
      </c>
      <c r="S36" s="8">
        <v>1777</v>
      </c>
      <c r="T36" s="9">
        <v>7959</v>
      </c>
      <c r="U36" s="7">
        <v>3115</v>
      </c>
      <c r="V36" s="8">
        <v>6684</v>
      </c>
      <c r="W36" s="8">
        <v>517</v>
      </c>
      <c r="X36" s="8">
        <v>1456</v>
      </c>
      <c r="Y36" s="8">
        <v>1571</v>
      </c>
      <c r="Z36" s="8">
        <v>2102</v>
      </c>
      <c r="AA36" s="8">
        <v>999</v>
      </c>
      <c r="AB36" s="8">
        <v>2588</v>
      </c>
      <c r="AC36" s="8">
        <v>1785</v>
      </c>
      <c r="AD36" s="8">
        <v>625</v>
      </c>
      <c r="AE36" s="8">
        <v>476</v>
      </c>
      <c r="AF36" s="8">
        <v>1177</v>
      </c>
      <c r="AG36" s="8">
        <v>1721</v>
      </c>
      <c r="AH36" s="9">
        <v>8318</v>
      </c>
    </row>
    <row r="37" spans="1:34" x14ac:dyDescent="0.25">
      <c r="A37" s="7" t="s">
        <v>53</v>
      </c>
      <c r="B37" s="14" t="s">
        <v>57</v>
      </c>
      <c r="C37" s="7">
        <v>33</v>
      </c>
      <c r="D37" s="8">
        <v>49</v>
      </c>
      <c r="E37" s="42" t="s">
        <v>59</v>
      </c>
      <c r="F37" s="9">
        <v>-3.19</v>
      </c>
      <c r="G37" s="7">
        <v>2987</v>
      </c>
      <c r="H37" s="8">
        <v>6861</v>
      </c>
      <c r="I37" s="8">
        <v>474</v>
      </c>
      <c r="J37" s="8">
        <v>1305</v>
      </c>
      <c r="K37" s="8">
        <v>1533</v>
      </c>
      <c r="L37" s="8">
        <v>2029</v>
      </c>
      <c r="M37" s="8">
        <v>1050</v>
      </c>
      <c r="N37" s="8">
        <v>2478</v>
      </c>
      <c r="O37" s="8">
        <v>1811</v>
      </c>
      <c r="P37" s="8">
        <v>635</v>
      </c>
      <c r="Q37" s="8">
        <v>429</v>
      </c>
      <c r="R37" s="8">
        <v>1197</v>
      </c>
      <c r="S37" s="8">
        <v>1784</v>
      </c>
      <c r="T37" s="9">
        <v>7981</v>
      </c>
      <c r="U37" s="7">
        <v>2982</v>
      </c>
      <c r="V37" s="8">
        <v>6583</v>
      </c>
      <c r="W37" s="8">
        <v>571</v>
      </c>
      <c r="X37" s="8">
        <v>1522</v>
      </c>
      <c r="Y37" s="8">
        <v>1699</v>
      </c>
      <c r="Z37" s="8">
        <v>2217</v>
      </c>
      <c r="AA37" s="8">
        <v>914</v>
      </c>
      <c r="AB37" s="8">
        <v>2582</v>
      </c>
      <c r="AC37" s="8">
        <v>1794</v>
      </c>
      <c r="AD37" s="8">
        <v>648</v>
      </c>
      <c r="AE37" s="8">
        <v>465</v>
      </c>
      <c r="AF37" s="8">
        <v>1254</v>
      </c>
      <c r="AG37" s="8">
        <v>1746</v>
      </c>
      <c r="AH37" s="9">
        <v>8234</v>
      </c>
    </row>
    <row r="38" spans="1:34" x14ac:dyDescent="0.25">
      <c r="A38" s="7" t="s">
        <v>69</v>
      </c>
      <c r="B38" s="14" t="s">
        <v>57</v>
      </c>
      <c r="C38" s="7">
        <v>45</v>
      </c>
      <c r="D38" s="8">
        <v>37</v>
      </c>
      <c r="E38" s="42" t="s">
        <v>58</v>
      </c>
      <c r="F38" s="9">
        <v>-0.53</v>
      </c>
      <c r="G38" s="7">
        <v>2937</v>
      </c>
      <c r="H38" s="8">
        <v>6697</v>
      </c>
      <c r="I38" s="8">
        <v>552</v>
      </c>
      <c r="J38" s="8">
        <v>1544</v>
      </c>
      <c r="K38" s="8">
        <v>1477</v>
      </c>
      <c r="L38" s="8">
        <v>2061</v>
      </c>
      <c r="M38" s="8">
        <v>1092</v>
      </c>
      <c r="N38" s="8">
        <v>2563</v>
      </c>
      <c r="O38" s="8">
        <v>1640</v>
      </c>
      <c r="P38" s="8">
        <v>579</v>
      </c>
      <c r="Q38" s="8">
        <v>427</v>
      </c>
      <c r="R38" s="8">
        <v>1145</v>
      </c>
      <c r="S38" s="8">
        <v>1712</v>
      </c>
      <c r="T38" s="9">
        <v>7903</v>
      </c>
      <c r="U38" s="7">
        <v>2939</v>
      </c>
      <c r="V38" s="8">
        <v>6462</v>
      </c>
      <c r="W38" s="8">
        <v>506</v>
      </c>
      <c r="X38" s="8">
        <v>1419</v>
      </c>
      <c r="Y38" s="8">
        <v>1548</v>
      </c>
      <c r="Z38" s="8">
        <v>2070</v>
      </c>
      <c r="AA38" s="8">
        <v>814</v>
      </c>
      <c r="AB38" s="8">
        <v>2500</v>
      </c>
      <c r="AC38" s="8">
        <v>1721</v>
      </c>
      <c r="AD38" s="8">
        <v>559</v>
      </c>
      <c r="AE38" s="8">
        <v>388</v>
      </c>
      <c r="AF38" s="8">
        <v>1092</v>
      </c>
      <c r="AG38" s="8">
        <v>1666</v>
      </c>
      <c r="AH38" s="9">
        <v>7932</v>
      </c>
    </row>
    <row r="39" spans="1:34" x14ac:dyDescent="0.25">
      <c r="A39" s="7" t="s">
        <v>73</v>
      </c>
      <c r="B39" s="14" t="s">
        <v>57</v>
      </c>
      <c r="C39" s="7">
        <v>51</v>
      </c>
      <c r="D39" s="8">
        <v>31</v>
      </c>
      <c r="E39" s="42" t="s">
        <v>58</v>
      </c>
      <c r="F39" s="9">
        <v>4.7</v>
      </c>
      <c r="G39" s="7">
        <v>3025</v>
      </c>
      <c r="H39" s="8">
        <v>6515</v>
      </c>
      <c r="I39" s="8">
        <v>494</v>
      </c>
      <c r="J39" s="8">
        <v>1403</v>
      </c>
      <c r="K39" s="8">
        <v>1690</v>
      </c>
      <c r="L39" s="8">
        <v>2075</v>
      </c>
      <c r="M39" s="8">
        <v>883</v>
      </c>
      <c r="N39" s="8">
        <v>2643</v>
      </c>
      <c r="O39" s="8">
        <v>1720</v>
      </c>
      <c r="P39" s="8">
        <v>490</v>
      </c>
      <c r="Q39" s="8">
        <v>402</v>
      </c>
      <c r="R39" s="8">
        <v>1037</v>
      </c>
      <c r="S39" s="8">
        <v>1786</v>
      </c>
      <c r="T39" s="9">
        <v>8234</v>
      </c>
      <c r="U39" s="7">
        <v>2903</v>
      </c>
      <c r="V39" s="8">
        <v>6551</v>
      </c>
      <c r="W39" s="8">
        <v>408</v>
      </c>
      <c r="X39" s="8">
        <v>1168</v>
      </c>
      <c r="Y39" s="8">
        <v>1648</v>
      </c>
      <c r="Z39" s="8">
        <v>2168</v>
      </c>
      <c r="AA39" s="8">
        <v>882</v>
      </c>
      <c r="AB39" s="8">
        <v>2419</v>
      </c>
      <c r="AC39" s="8">
        <v>1547</v>
      </c>
      <c r="AD39" s="8">
        <v>536</v>
      </c>
      <c r="AE39" s="8">
        <v>357</v>
      </c>
      <c r="AF39" s="8">
        <v>999</v>
      </c>
      <c r="AG39" s="8">
        <v>1739</v>
      </c>
      <c r="AH39" s="9">
        <v>7862</v>
      </c>
    </row>
    <row r="40" spans="1:34" x14ac:dyDescent="0.25">
      <c r="A40" s="7" t="s">
        <v>74</v>
      </c>
      <c r="B40" s="14" t="s">
        <v>57</v>
      </c>
      <c r="C40" s="7">
        <v>50</v>
      </c>
      <c r="D40" s="8">
        <v>32</v>
      </c>
      <c r="E40" s="42" t="s">
        <v>58</v>
      </c>
      <c r="F40" s="9">
        <v>3.74</v>
      </c>
      <c r="G40" s="7">
        <v>3307</v>
      </c>
      <c r="H40" s="8">
        <v>7038</v>
      </c>
      <c r="I40" s="8">
        <v>569</v>
      </c>
      <c r="J40" s="8">
        <v>1605</v>
      </c>
      <c r="K40" s="8">
        <v>1891</v>
      </c>
      <c r="L40" s="8">
        <v>2519</v>
      </c>
      <c r="M40" s="8">
        <v>918</v>
      </c>
      <c r="N40" s="8">
        <v>2698</v>
      </c>
      <c r="O40" s="8">
        <v>2024</v>
      </c>
      <c r="P40" s="8">
        <v>752</v>
      </c>
      <c r="Q40" s="8">
        <v>551</v>
      </c>
      <c r="R40" s="8">
        <v>1203</v>
      </c>
      <c r="S40" s="8">
        <v>1731</v>
      </c>
      <c r="T40" s="9">
        <v>9074</v>
      </c>
      <c r="U40" s="7">
        <v>3334</v>
      </c>
      <c r="V40" s="8">
        <v>7303</v>
      </c>
      <c r="W40" s="8">
        <v>621</v>
      </c>
      <c r="X40" s="8">
        <v>1710</v>
      </c>
      <c r="Y40" s="8">
        <v>1481</v>
      </c>
      <c r="Z40" s="8">
        <v>2028</v>
      </c>
      <c r="AA40" s="8">
        <v>1042</v>
      </c>
      <c r="AB40" s="8">
        <v>2680</v>
      </c>
      <c r="AC40" s="8">
        <v>2107</v>
      </c>
      <c r="AD40" s="8">
        <v>644</v>
      </c>
      <c r="AE40" s="8">
        <v>393</v>
      </c>
      <c r="AF40" s="8">
        <v>1343</v>
      </c>
      <c r="AG40" s="8">
        <v>1950</v>
      </c>
      <c r="AH40" s="9">
        <v>8770</v>
      </c>
    </row>
    <row r="41" spans="1:34" x14ac:dyDescent="0.25">
      <c r="A41" s="7" t="s">
        <v>75</v>
      </c>
      <c r="B41" s="14" t="s">
        <v>57</v>
      </c>
      <c r="C41" s="7">
        <v>59</v>
      </c>
      <c r="D41" s="8">
        <v>23</v>
      </c>
      <c r="E41" s="42" t="s">
        <v>58</v>
      </c>
      <c r="F41" s="9">
        <v>6.67</v>
      </c>
      <c r="G41" s="7">
        <v>2999</v>
      </c>
      <c r="H41" s="8">
        <v>6551</v>
      </c>
      <c r="I41" s="8">
        <v>487</v>
      </c>
      <c r="J41" s="8">
        <v>1330</v>
      </c>
      <c r="K41" s="8">
        <v>1507</v>
      </c>
      <c r="L41" s="8">
        <v>1965</v>
      </c>
      <c r="M41" s="8">
        <v>974</v>
      </c>
      <c r="N41" s="8">
        <v>2423</v>
      </c>
      <c r="O41" s="8">
        <v>1831</v>
      </c>
      <c r="P41" s="8">
        <v>583</v>
      </c>
      <c r="Q41" s="8">
        <v>472</v>
      </c>
      <c r="R41" s="8">
        <v>956</v>
      </c>
      <c r="S41" s="8">
        <v>1688</v>
      </c>
      <c r="T41" s="9">
        <v>7992</v>
      </c>
      <c r="U41" s="7">
        <v>2727</v>
      </c>
      <c r="V41" s="8">
        <v>6239</v>
      </c>
      <c r="W41" s="8">
        <v>409</v>
      </c>
      <c r="X41" s="8">
        <v>1233</v>
      </c>
      <c r="Y41" s="8">
        <v>1523</v>
      </c>
      <c r="Z41" s="8">
        <v>2047</v>
      </c>
      <c r="AA41" s="8">
        <v>865</v>
      </c>
      <c r="AB41" s="8">
        <v>2344</v>
      </c>
      <c r="AC41" s="8">
        <v>1563</v>
      </c>
      <c r="AD41" s="8">
        <v>477</v>
      </c>
      <c r="AE41" s="8">
        <v>319</v>
      </c>
      <c r="AF41" s="8">
        <v>1108</v>
      </c>
      <c r="AG41" s="8">
        <v>1618</v>
      </c>
      <c r="AH41" s="9">
        <v>7386</v>
      </c>
    </row>
    <row r="42" spans="1:34" x14ac:dyDescent="0.25">
      <c r="A42" s="7" t="s">
        <v>17</v>
      </c>
      <c r="B42" s="14" t="s">
        <v>57</v>
      </c>
      <c r="C42" s="7">
        <v>48</v>
      </c>
      <c r="D42" s="8">
        <v>34</v>
      </c>
      <c r="E42" s="42" t="s">
        <v>59</v>
      </c>
      <c r="F42" s="9">
        <v>2.38</v>
      </c>
      <c r="G42" s="7">
        <v>3403</v>
      </c>
      <c r="H42" s="8">
        <v>7406</v>
      </c>
      <c r="I42" s="8">
        <v>761</v>
      </c>
      <c r="J42" s="8">
        <v>2185</v>
      </c>
      <c r="K42" s="8">
        <v>1538</v>
      </c>
      <c r="L42" s="8">
        <v>2044</v>
      </c>
      <c r="M42" s="8">
        <v>1045</v>
      </c>
      <c r="N42" s="8">
        <v>2496</v>
      </c>
      <c r="O42" s="8">
        <v>1833</v>
      </c>
      <c r="P42" s="8">
        <v>744</v>
      </c>
      <c r="Q42" s="8">
        <v>377</v>
      </c>
      <c r="R42" s="8">
        <v>1082</v>
      </c>
      <c r="S42" s="8">
        <v>1875</v>
      </c>
      <c r="T42" s="9">
        <v>9105</v>
      </c>
      <c r="U42" s="7">
        <v>3273</v>
      </c>
      <c r="V42" s="8">
        <v>6998</v>
      </c>
      <c r="W42" s="8">
        <v>572</v>
      </c>
      <c r="X42" s="8">
        <v>1556</v>
      </c>
      <c r="Y42" s="8">
        <v>1806</v>
      </c>
      <c r="Z42" s="8">
        <v>2378</v>
      </c>
      <c r="AA42" s="8">
        <v>1053</v>
      </c>
      <c r="AB42" s="8">
        <v>2803</v>
      </c>
      <c r="AC42" s="8">
        <v>1939</v>
      </c>
      <c r="AD42" s="8">
        <v>567</v>
      </c>
      <c r="AE42" s="8">
        <v>413</v>
      </c>
      <c r="AF42" s="8">
        <v>1384</v>
      </c>
      <c r="AG42" s="8">
        <v>1736</v>
      </c>
      <c r="AH42" s="9">
        <v>8924</v>
      </c>
    </row>
    <row r="43" spans="1:34" x14ac:dyDescent="0.25">
      <c r="A43" s="7" t="s">
        <v>65</v>
      </c>
      <c r="B43" s="14" t="s">
        <v>57</v>
      </c>
      <c r="C43" s="7">
        <v>55</v>
      </c>
      <c r="D43" s="8">
        <v>27</v>
      </c>
      <c r="E43" s="42" t="s">
        <v>58</v>
      </c>
      <c r="F43" s="9">
        <v>4.84</v>
      </c>
      <c r="G43" s="7">
        <v>3003</v>
      </c>
      <c r="H43" s="8">
        <v>6698</v>
      </c>
      <c r="I43" s="8">
        <v>583</v>
      </c>
      <c r="J43" s="8">
        <v>1707</v>
      </c>
      <c r="K43" s="8">
        <v>1342</v>
      </c>
      <c r="L43" s="8">
        <v>1848</v>
      </c>
      <c r="M43" s="8">
        <v>1002</v>
      </c>
      <c r="N43" s="8">
        <v>2659</v>
      </c>
      <c r="O43" s="8">
        <v>1757</v>
      </c>
      <c r="P43" s="8">
        <v>598</v>
      </c>
      <c r="Q43" s="8">
        <v>420</v>
      </c>
      <c r="R43" s="8">
        <v>1125</v>
      </c>
      <c r="S43" s="8">
        <v>1609</v>
      </c>
      <c r="T43" s="9">
        <v>7931</v>
      </c>
      <c r="U43" s="7">
        <v>2852</v>
      </c>
      <c r="V43" s="8">
        <v>6594</v>
      </c>
      <c r="W43" s="8">
        <v>433</v>
      </c>
      <c r="X43" s="8">
        <v>1186</v>
      </c>
      <c r="Y43" s="8">
        <v>1410</v>
      </c>
      <c r="Z43" s="8">
        <v>1912</v>
      </c>
      <c r="AA43" s="8">
        <v>894</v>
      </c>
      <c r="AB43" s="8">
        <v>2441</v>
      </c>
      <c r="AC43" s="8">
        <v>1548</v>
      </c>
      <c r="AD43" s="8">
        <v>622</v>
      </c>
      <c r="AE43" s="8">
        <v>379</v>
      </c>
      <c r="AF43" s="8">
        <v>1094</v>
      </c>
      <c r="AG43" s="8">
        <v>1615</v>
      </c>
      <c r="AH43" s="9">
        <v>7547</v>
      </c>
    </row>
    <row r="44" spans="1:34" x14ac:dyDescent="0.25">
      <c r="A44" s="7" t="s">
        <v>19</v>
      </c>
      <c r="B44" s="14" t="s">
        <v>57</v>
      </c>
      <c r="C44" s="7">
        <v>36</v>
      </c>
      <c r="D44" s="8">
        <v>46</v>
      </c>
      <c r="E44" s="42" t="s">
        <v>59</v>
      </c>
      <c r="F44" s="9">
        <v>-1.86</v>
      </c>
      <c r="G44" s="7">
        <v>3102</v>
      </c>
      <c r="H44" s="8">
        <v>6993</v>
      </c>
      <c r="I44" s="8">
        <v>755</v>
      </c>
      <c r="J44" s="8">
        <v>2021</v>
      </c>
      <c r="K44" s="8">
        <v>1568</v>
      </c>
      <c r="L44" s="8">
        <v>2042</v>
      </c>
      <c r="M44" s="8">
        <v>904</v>
      </c>
      <c r="N44" s="8">
        <v>2633</v>
      </c>
      <c r="O44" s="8">
        <v>1864</v>
      </c>
      <c r="P44" s="8">
        <v>623</v>
      </c>
      <c r="Q44" s="8">
        <v>412</v>
      </c>
      <c r="R44" s="8">
        <v>1236</v>
      </c>
      <c r="S44" s="8">
        <v>1921</v>
      </c>
      <c r="T44" s="9">
        <v>8527</v>
      </c>
      <c r="U44" s="7">
        <v>3093</v>
      </c>
      <c r="V44" s="8">
        <v>6817</v>
      </c>
      <c r="W44" s="8">
        <v>606</v>
      </c>
      <c r="X44" s="8">
        <v>1571</v>
      </c>
      <c r="Y44" s="8">
        <v>1850</v>
      </c>
      <c r="Z44" s="8">
        <v>2443</v>
      </c>
      <c r="AA44" s="8">
        <v>929</v>
      </c>
      <c r="AB44" s="8">
        <v>2800</v>
      </c>
      <c r="AC44" s="8">
        <v>1820</v>
      </c>
      <c r="AD44" s="8">
        <v>663</v>
      </c>
      <c r="AE44" s="8">
        <v>416</v>
      </c>
      <c r="AF44" s="8">
        <v>1297</v>
      </c>
      <c r="AG44" s="8">
        <v>1782</v>
      </c>
      <c r="AH44" s="9">
        <v>8642</v>
      </c>
    </row>
    <row r="45" spans="1:34" x14ac:dyDescent="0.25">
      <c r="A45" s="7" t="s">
        <v>27</v>
      </c>
      <c r="B45" s="14" t="s">
        <v>57</v>
      </c>
      <c r="C45" s="7">
        <v>23</v>
      </c>
      <c r="D45" s="8">
        <v>59</v>
      </c>
      <c r="E45" s="42" t="s">
        <v>59</v>
      </c>
      <c r="F45" s="9">
        <v>-6.56</v>
      </c>
      <c r="G45" s="7">
        <v>2820</v>
      </c>
      <c r="H45" s="8">
        <v>6445</v>
      </c>
      <c r="I45" s="8">
        <v>350</v>
      </c>
      <c r="J45" s="8">
        <v>1079</v>
      </c>
      <c r="K45" s="8">
        <v>1702</v>
      </c>
      <c r="L45" s="8">
        <v>2178</v>
      </c>
      <c r="M45" s="8">
        <v>800</v>
      </c>
      <c r="N45" s="8">
        <v>2491</v>
      </c>
      <c r="O45" s="8">
        <v>1732</v>
      </c>
      <c r="P45" s="8">
        <v>557</v>
      </c>
      <c r="Q45" s="8">
        <v>398</v>
      </c>
      <c r="R45" s="8">
        <v>1180</v>
      </c>
      <c r="S45" s="8">
        <v>1745</v>
      </c>
      <c r="T45" s="9">
        <v>7692</v>
      </c>
      <c r="U45" s="7">
        <v>3114</v>
      </c>
      <c r="V45" s="8">
        <v>6670</v>
      </c>
      <c r="W45" s="8">
        <v>486</v>
      </c>
      <c r="X45" s="8">
        <v>1393</v>
      </c>
      <c r="Y45" s="8">
        <v>1574</v>
      </c>
      <c r="Z45" s="8">
        <v>2096</v>
      </c>
      <c r="AA45" s="8">
        <v>916</v>
      </c>
      <c r="AB45" s="8">
        <v>2657</v>
      </c>
      <c r="AC45" s="8">
        <v>1834</v>
      </c>
      <c r="AD45" s="8">
        <v>590</v>
      </c>
      <c r="AE45" s="8">
        <v>388</v>
      </c>
      <c r="AF45" s="8">
        <v>1112</v>
      </c>
      <c r="AG45" s="8">
        <v>1773</v>
      </c>
      <c r="AH45" s="9">
        <v>8288</v>
      </c>
    </row>
    <row r="46" spans="1:34" x14ac:dyDescent="0.25">
      <c r="A46" s="7" t="s">
        <v>70</v>
      </c>
      <c r="B46" s="14" t="s">
        <v>57</v>
      </c>
      <c r="C46" s="7">
        <v>57</v>
      </c>
      <c r="D46" s="8">
        <v>25</v>
      </c>
      <c r="E46" s="42" t="s">
        <v>58</v>
      </c>
      <c r="F46" s="9">
        <v>7.34</v>
      </c>
      <c r="G46" s="7">
        <v>3248</v>
      </c>
      <c r="H46" s="8">
        <v>6818</v>
      </c>
      <c r="I46" s="8">
        <v>662</v>
      </c>
      <c r="J46" s="8">
        <v>1751</v>
      </c>
      <c r="K46" s="8">
        <v>1746</v>
      </c>
      <c r="L46" s="8">
        <v>2270</v>
      </c>
      <c r="M46" s="8">
        <v>898</v>
      </c>
      <c r="N46" s="8">
        <v>2722</v>
      </c>
      <c r="O46" s="8">
        <v>2003</v>
      </c>
      <c r="P46" s="8">
        <v>654</v>
      </c>
      <c r="Q46" s="8">
        <v>438</v>
      </c>
      <c r="R46" s="8">
        <v>1156</v>
      </c>
      <c r="S46" s="8">
        <v>1691</v>
      </c>
      <c r="T46" s="9">
        <v>8904</v>
      </c>
      <c r="U46" s="7">
        <v>3127</v>
      </c>
      <c r="V46" s="8">
        <v>7022</v>
      </c>
      <c r="W46" s="8">
        <v>554</v>
      </c>
      <c r="X46" s="8">
        <v>1531</v>
      </c>
      <c r="Y46" s="8">
        <v>1501</v>
      </c>
      <c r="Z46" s="8">
        <v>1995</v>
      </c>
      <c r="AA46" s="8">
        <v>988</v>
      </c>
      <c r="AB46" s="8">
        <v>2521</v>
      </c>
      <c r="AC46" s="8">
        <v>1793</v>
      </c>
      <c r="AD46" s="8">
        <v>634</v>
      </c>
      <c r="AE46" s="8">
        <v>368</v>
      </c>
      <c r="AF46" s="8">
        <v>1168</v>
      </c>
      <c r="AG46" s="8">
        <v>1850</v>
      </c>
      <c r="AH46" s="9">
        <v>8309</v>
      </c>
    </row>
    <row r="47" spans="1:34" x14ac:dyDescent="0.25">
      <c r="A47" s="7" t="s">
        <v>28</v>
      </c>
      <c r="B47" s="14" t="s">
        <v>57</v>
      </c>
      <c r="C47" s="7">
        <v>22</v>
      </c>
      <c r="D47" s="8">
        <v>60</v>
      </c>
      <c r="E47" s="42" t="s">
        <v>59</v>
      </c>
      <c r="F47" s="9">
        <v>-5.75</v>
      </c>
      <c r="G47" s="7">
        <v>3060</v>
      </c>
      <c r="H47" s="8">
        <v>6737</v>
      </c>
      <c r="I47" s="8">
        <v>620</v>
      </c>
      <c r="J47" s="8">
        <v>1779</v>
      </c>
      <c r="K47" s="8">
        <v>1517</v>
      </c>
      <c r="L47" s="8">
        <v>2097</v>
      </c>
      <c r="M47" s="8">
        <v>848</v>
      </c>
      <c r="N47" s="8">
        <v>2567</v>
      </c>
      <c r="O47" s="8">
        <v>1574</v>
      </c>
      <c r="P47" s="8">
        <v>503</v>
      </c>
      <c r="Q47" s="8">
        <v>386</v>
      </c>
      <c r="R47" s="8">
        <v>1251</v>
      </c>
      <c r="S47" s="8">
        <v>1592</v>
      </c>
      <c r="T47" s="9">
        <v>8257</v>
      </c>
      <c r="U47" s="7">
        <v>3394</v>
      </c>
      <c r="V47" s="8">
        <v>7076</v>
      </c>
      <c r="W47" s="8">
        <v>591</v>
      </c>
      <c r="X47" s="8">
        <v>1625</v>
      </c>
      <c r="Y47" s="8">
        <v>1387</v>
      </c>
      <c r="Z47" s="8">
        <v>1791</v>
      </c>
      <c r="AA47" s="8">
        <v>932</v>
      </c>
      <c r="AB47" s="8">
        <v>2721</v>
      </c>
      <c r="AC47" s="8">
        <v>1963</v>
      </c>
      <c r="AD47" s="8">
        <v>711</v>
      </c>
      <c r="AE47" s="8">
        <v>403</v>
      </c>
      <c r="AF47" s="8">
        <v>1096</v>
      </c>
      <c r="AG47" s="8">
        <v>1842</v>
      </c>
      <c r="AH47" s="9">
        <v>8766</v>
      </c>
    </row>
    <row r="48" spans="1:34" x14ac:dyDescent="0.25">
      <c r="A48" s="7" t="s">
        <v>54</v>
      </c>
      <c r="B48" s="14" t="s">
        <v>57</v>
      </c>
      <c r="C48" s="7">
        <v>15</v>
      </c>
      <c r="D48" s="8">
        <v>67</v>
      </c>
      <c r="E48" s="42" t="s">
        <v>59</v>
      </c>
      <c r="F48" s="9">
        <v>-8.5299999999999994</v>
      </c>
      <c r="G48" s="7">
        <v>2808</v>
      </c>
      <c r="H48" s="8">
        <v>6336</v>
      </c>
      <c r="I48" s="8">
        <v>491</v>
      </c>
      <c r="J48" s="8">
        <v>1373</v>
      </c>
      <c r="K48" s="8">
        <v>1384</v>
      </c>
      <c r="L48" s="8">
        <v>1903</v>
      </c>
      <c r="M48" s="8">
        <v>743</v>
      </c>
      <c r="N48" s="8">
        <v>2342</v>
      </c>
      <c r="O48" s="8">
        <v>1644</v>
      </c>
      <c r="P48" s="8">
        <v>589</v>
      </c>
      <c r="Q48" s="8">
        <v>355</v>
      </c>
      <c r="R48" s="8">
        <v>1202</v>
      </c>
      <c r="S48" s="8">
        <v>1670</v>
      </c>
      <c r="T48" s="9">
        <v>7491</v>
      </c>
      <c r="U48" s="7">
        <v>3029</v>
      </c>
      <c r="V48" s="8">
        <v>6477</v>
      </c>
      <c r="W48" s="8">
        <v>552</v>
      </c>
      <c r="X48" s="8">
        <v>1497</v>
      </c>
      <c r="Y48" s="8">
        <v>1590</v>
      </c>
      <c r="Z48" s="8">
        <v>2105</v>
      </c>
      <c r="AA48" s="8">
        <v>916</v>
      </c>
      <c r="AB48" s="8">
        <v>2617</v>
      </c>
      <c r="AC48" s="8">
        <v>1817</v>
      </c>
      <c r="AD48" s="8">
        <v>631</v>
      </c>
      <c r="AE48" s="8">
        <v>341</v>
      </c>
      <c r="AF48" s="8">
        <v>1166</v>
      </c>
      <c r="AG48" s="8">
        <v>1650</v>
      </c>
      <c r="AH48" s="9">
        <v>8200</v>
      </c>
    </row>
    <row r="49" spans="1:34" x14ac:dyDescent="0.25">
      <c r="A49" s="7" t="s">
        <v>21</v>
      </c>
      <c r="B49" s="14" t="s">
        <v>57</v>
      </c>
      <c r="C49" s="7">
        <v>26</v>
      </c>
      <c r="D49" s="8">
        <v>56</v>
      </c>
      <c r="E49" s="42" t="s">
        <v>59</v>
      </c>
      <c r="F49" s="9">
        <v>-6.91</v>
      </c>
      <c r="G49" s="7">
        <v>3026</v>
      </c>
      <c r="H49" s="8">
        <v>6745</v>
      </c>
      <c r="I49" s="8">
        <v>452</v>
      </c>
      <c r="J49" s="8">
        <v>1313</v>
      </c>
      <c r="K49" s="8">
        <v>1452</v>
      </c>
      <c r="L49" s="8">
        <v>1980</v>
      </c>
      <c r="M49" s="8">
        <v>1055</v>
      </c>
      <c r="N49" s="8">
        <v>2363</v>
      </c>
      <c r="O49" s="8">
        <v>1760</v>
      </c>
      <c r="P49" s="8">
        <v>544</v>
      </c>
      <c r="Q49" s="8">
        <v>361</v>
      </c>
      <c r="R49" s="8">
        <v>1210</v>
      </c>
      <c r="S49" s="8">
        <v>1748</v>
      </c>
      <c r="T49" s="9">
        <v>7956</v>
      </c>
      <c r="U49" s="7">
        <v>3147</v>
      </c>
      <c r="V49" s="8">
        <v>6562</v>
      </c>
      <c r="W49" s="8">
        <v>588</v>
      </c>
      <c r="X49" s="8">
        <v>1530</v>
      </c>
      <c r="Y49" s="8">
        <v>1639</v>
      </c>
      <c r="Z49" s="8">
        <v>2141</v>
      </c>
      <c r="AA49" s="8">
        <v>872</v>
      </c>
      <c r="AB49" s="8">
        <v>2464</v>
      </c>
      <c r="AC49" s="8">
        <v>1913</v>
      </c>
      <c r="AD49" s="8">
        <v>647</v>
      </c>
      <c r="AE49" s="8">
        <v>404</v>
      </c>
      <c r="AF49" s="8">
        <v>1125</v>
      </c>
      <c r="AG49" s="8">
        <v>1727</v>
      </c>
      <c r="AH49" s="9">
        <v>8521</v>
      </c>
    </row>
    <row r="50" spans="1:34" x14ac:dyDescent="0.25">
      <c r="A50" s="7" t="s">
        <v>24</v>
      </c>
      <c r="B50" s="14" t="s">
        <v>57</v>
      </c>
      <c r="C50" s="7">
        <v>22</v>
      </c>
      <c r="D50" s="8">
        <v>60</v>
      </c>
      <c r="E50" s="42" t="s">
        <v>59</v>
      </c>
      <c r="F50" s="9">
        <v>-6.25</v>
      </c>
      <c r="G50" s="7">
        <v>3076</v>
      </c>
      <c r="H50" s="8">
        <v>6817</v>
      </c>
      <c r="I50" s="8">
        <v>441</v>
      </c>
      <c r="J50" s="8">
        <v>1259</v>
      </c>
      <c r="K50" s="8">
        <v>1246</v>
      </c>
      <c r="L50" s="8">
        <v>1693</v>
      </c>
      <c r="M50" s="8">
        <v>964</v>
      </c>
      <c r="N50" s="8">
        <v>2428</v>
      </c>
      <c r="O50" s="8">
        <v>1630</v>
      </c>
      <c r="P50" s="8">
        <v>616</v>
      </c>
      <c r="Q50" s="8">
        <v>306</v>
      </c>
      <c r="R50" s="8">
        <v>1188</v>
      </c>
      <c r="S50" s="8">
        <v>1885</v>
      </c>
      <c r="T50" s="9">
        <v>7839</v>
      </c>
      <c r="U50" s="7">
        <v>3056</v>
      </c>
      <c r="V50" s="8">
        <v>6481</v>
      </c>
      <c r="W50" s="8">
        <v>541</v>
      </c>
      <c r="X50" s="8">
        <v>1516</v>
      </c>
      <c r="Y50" s="8">
        <v>1742</v>
      </c>
      <c r="Z50" s="8">
        <v>2266</v>
      </c>
      <c r="AA50" s="8">
        <v>871</v>
      </c>
      <c r="AB50" s="8">
        <v>2545</v>
      </c>
      <c r="AC50" s="8">
        <v>1899</v>
      </c>
      <c r="AD50" s="8">
        <v>610</v>
      </c>
      <c r="AE50" s="8">
        <v>467</v>
      </c>
      <c r="AF50" s="8">
        <v>1103</v>
      </c>
      <c r="AG50" s="8">
        <v>1434</v>
      </c>
      <c r="AH50" s="9">
        <v>8395</v>
      </c>
    </row>
    <row r="51" spans="1:34" x14ac:dyDescent="0.25">
      <c r="A51" s="7" t="s">
        <v>23</v>
      </c>
      <c r="B51" s="14" t="s">
        <v>57</v>
      </c>
      <c r="C51" s="7">
        <v>34</v>
      </c>
      <c r="D51" s="8">
        <v>48</v>
      </c>
      <c r="E51" s="42" t="s">
        <v>59</v>
      </c>
      <c r="F51" s="9">
        <v>-5.15</v>
      </c>
      <c r="G51" s="7">
        <v>2856</v>
      </c>
      <c r="H51" s="8">
        <v>6450</v>
      </c>
      <c r="I51" s="8">
        <v>498</v>
      </c>
      <c r="J51" s="8">
        <v>1430</v>
      </c>
      <c r="K51" s="8">
        <v>1647</v>
      </c>
      <c r="L51" s="8">
        <v>2237</v>
      </c>
      <c r="M51" s="8">
        <v>913</v>
      </c>
      <c r="N51" s="8">
        <v>2520</v>
      </c>
      <c r="O51" s="8">
        <v>1925</v>
      </c>
      <c r="P51" s="8">
        <v>521</v>
      </c>
      <c r="Q51" s="8">
        <v>390</v>
      </c>
      <c r="R51" s="8">
        <v>1229</v>
      </c>
      <c r="S51" s="8">
        <v>1855</v>
      </c>
      <c r="T51" s="9">
        <v>7857</v>
      </c>
      <c r="U51" s="7">
        <v>2982</v>
      </c>
      <c r="V51" s="8">
        <v>6543</v>
      </c>
      <c r="W51" s="8">
        <v>534</v>
      </c>
      <c r="X51" s="8">
        <v>1448</v>
      </c>
      <c r="Y51" s="8">
        <v>1774</v>
      </c>
      <c r="Z51" s="8">
        <v>2311</v>
      </c>
      <c r="AA51" s="8">
        <v>896</v>
      </c>
      <c r="AB51" s="8">
        <v>2517</v>
      </c>
      <c r="AC51" s="8">
        <v>1810</v>
      </c>
      <c r="AD51" s="8">
        <v>662</v>
      </c>
      <c r="AE51" s="8">
        <v>362</v>
      </c>
      <c r="AF51" s="8">
        <v>1098</v>
      </c>
      <c r="AG51" s="8">
        <v>1836</v>
      </c>
      <c r="AH51" s="9">
        <v>8272</v>
      </c>
    </row>
    <row r="52" spans="1:34" x14ac:dyDescent="0.25">
      <c r="A52" s="7" t="s">
        <v>71</v>
      </c>
      <c r="B52" s="14" t="s">
        <v>57</v>
      </c>
      <c r="C52" s="7">
        <v>56</v>
      </c>
      <c r="D52" s="8">
        <v>26</v>
      </c>
      <c r="E52" s="42" t="s">
        <v>58</v>
      </c>
      <c r="F52" s="9">
        <v>5.46</v>
      </c>
      <c r="G52" s="7">
        <v>3164</v>
      </c>
      <c r="H52" s="8">
        <v>6796</v>
      </c>
      <c r="I52" s="8">
        <v>630</v>
      </c>
      <c r="J52" s="8">
        <v>1621</v>
      </c>
      <c r="K52" s="8">
        <v>1312</v>
      </c>
      <c r="L52" s="8">
        <v>1707</v>
      </c>
      <c r="M52" s="8">
        <v>937</v>
      </c>
      <c r="N52" s="8">
        <v>2494</v>
      </c>
      <c r="O52" s="8">
        <v>1785</v>
      </c>
      <c r="P52" s="8">
        <v>637</v>
      </c>
      <c r="Q52" s="8">
        <v>321</v>
      </c>
      <c r="R52" s="8">
        <v>974</v>
      </c>
      <c r="S52" s="8">
        <v>1531</v>
      </c>
      <c r="T52" s="9">
        <v>8270</v>
      </c>
      <c r="U52" s="7">
        <v>3038</v>
      </c>
      <c r="V52" s="8">
        <v>6604</v>
      </c>
      <c r="W52" s="8">
        <v>544</v>
      </c>
      <c r="X52" s="8">
        <v>1552</v>
      </c>
      <c r="Y52" s="8">
        <v>1217</v>
      </c>
      <c r="Z52" s="8">
        <v>1579</v>
      </c>
      <c r="AA52" s="8">
        <v>815</v>
      </c>
      <c r="AB52" s="8">
        <v>2533</v>
      </c>
      <c r="AC52" s="8">
        <v>1779</v>
      </c>
      <c r="AD52" s="8">
        <v>470</v>
      </c>
      <c r="AE52" s="8">
        <v>331</v>
      </c>
      <c r="AF52" s="8">
        <v>1136</v>
      </c>
      <c r="AG52" s="8">
        <v>1573</v>
      </c>
      <c r="AH52" s="9">
        <v>7837</v>
      </c>
    </row>
    <row r="53" spans="1:34" x14ac:dyDescent="0.25">
      <c r="A53" s="7" t="s">
        <v>18</v>
      </c>
      <c r="B53" s="14" t="s">
        <v>57</v>
      </c>
      <c r="C53" s="7">
        <v>23</v>
      </c>
      <c r="D53" s="8">
        <v>59</v>
      </c>
      <c r="E53" s="42" t="s">
        <v>59</v>
      </c>
      <c r="F53" s="9">
        <v>-6.54</v>
      </c>
      <c r="G53" s="7">
        <v>2967</v>
      </c>
      <c r="H53" s="8">
        <v>6757</v>
      </c>
      <c r="I53" s="8">
        <v>490</v>
      </c>
      <c r="J53" s="8">
        <v>1454</v>
      </c>
      <c r="K53" s="8">
        <v>1524</v>
      </c>
      <c r="L53" s="8">
        <v>2095</v>
      </c>
      <c r="M53" s="8">
        <v>1029</v>
      </c>
      <c r="N53" s="8">
        <v>2457</v>
      </c>
      <c r="O53" s="8">
        <v>1530</v>
      </c>
      <c r="P53" s="8">
        <v>521</v>
      </c>
      <c r="Q53" s="8">
        <v>213</v>
      </c>
      <c r="R53" s="8">
        <v>1187</v>
      </c>
      <c r="S53" s="8">
        <v>1761</v>
      </c>
      <c r="T53" s="9">
        <v>7948</v>
      </c>
      <c r="U53" s="7">
        <v>3184</v>
      </c>
      <c r="V53" s="8">
        <v>6711</v>
      </c>
      <c r="W53" s="8">
        <v>587</v>
      </c>
      <c r="X53" s="8">
        <v>1592</v>
      </c>
      <c r="Y53" s="8">
        <v>1535</v>
      </c>
      <c r="Z53" s="8">
        <v>2078</v>
      </c>
      <c r="AA53" s="8">
        <v>924</v>
      </c>
      <c r="AB53" s="8">
        <v>2573</v>
      </c>
      <c r="AC53" s="8">
        <v>1773</v>
      </c>
      <c r="AD53" s="8">
        <v>621</v>
      </c>
      <c r="AE53" s="8">
        <v>429</v>
      </c>
      <c r="AF53" s="8">
        <v>1046</v>
      </c>
      <c r="AG53" s="8">
        <v>1665</v>
      </c>
      <c r="AH53" s="9">
        <v>8490</v>
      </c>
    </row>
    <row r="54" spans="1:34" x14ac:dyDescent="0.25">
      <c r="A54" s="7" t="s">
        <v>66</v>
      </c>
      <c r="B54" s="14" t="s">
        <v>57</v>
      </c>
      <c r="C54" s="7">
        <v>52</v>
      </c>
      <c r="D54" s="8">
        <v>30</v>
      </c>
      <c r="E54" s="42" t="s">
        <v>58</v>
      </c>
      <c r="F54" s="9">
        <v>4.79</v>
      </c>
      <c r="G54" s="7">
        <v>3058</v>
      </c>
      <c r="H54" s="8">
        <v>6446</v>
      </c>
      <c r="I54" s="8">
        <v>801</v>
      </c>
      <c r="J54" s="8">
        <v>2074</v>
      </c>
      <c r="K54" s="8">
        <v>1650</v>
      </c>
      <c r="L54" s="8">
        <v>2288</v>
      </c>
      <c r="M54" s="8">
        <v>768</v>
      </c>
      <c r="N54" s="8">
        <v>2677</v>
      </c>
      <c r="O54" s="8">
        <v>1706</v>
      </c>
      <c r="P54" s="8">
        <v>520</v>
      </c>
      <c r="Q54" s="8">
        <v>333</v>
      </c>
      <c r="R54" s="8">
        <v>1173</v>
      </c>
      <c r="S54" s="8">
        <v>1688</v>
      </c>
      <c r="T54" s="9">
        <v>8567</v>
      </c>
      <c r="U54" s="7">
        <v>3057</v>
      </c>
      <c r="V54" s="8">
        <v>6855</v>
      </c>
      <c r="W54" s="8">
        <v>516</v>
      </c>
      <c r="X54" s="8">
        <v>1441</v>
      </c>
      <c r="Y54" s="8">
        <v>1489</v>
      </c>
      <c r="Z54" s="8">
        <v>1975</v>
      </c>
      <c r="AA54" s="8">
        <v>900</v>
      </c>
      <c r="AB54" s="8">
        <v>2519</v>
      </c>
      <c r="AC54" s="8">
        <v>1764</v>
      </c>
      <c r="AD54" s="8">
        <v>581</v>
      </c>
      <c r="AE54" s="8">
        <v>344</v>
      </c>
      <c r="AF54" s="8">
        <v>1081</v>
      </c>
      <c r="AG54" s="8">
        <v>1898</v>
      </c>
      <c r="AH54" s="9">
        <v>8119</v>
      </c>
    </row>
    <row r="55" spans="1:34" x14ac:dyDescent="0.25">
      <c r="A55" s="7" t="s">
        <v>63</v>
      </c>
      <c r="B55" s="14" t="s">
        <v>57</v>
      </c>
      <c r="C55" s="7">
        <v>40</v>
      </c>
      <c r="D55" s="8">
        <v>42</v>
      </c>
      <c r="E55" s="42" t="s">
        <v>58</v>
      </c>
      <c r="F55" s="9">
        <v>0.19</v>
      </c>
      <c r="G55" s="7">
        <v>3056</v>
      </c>
      <c r="H55" s="8">
        <v>6648</v>
      </c>
      <c r="I55" s="8">
        <v>302</v>
      </c>
      <c r="J55" s="8">
        <v>952</v>
      </c>
      <c r="K55" s="8">
        <v>1509</v>
      </c>
      <c r="L55" s="8">
        <v>2137</v>
      </c>
      <c r="M55" s="8">
        <v>1067</v>
      </c>
      <c r="N55" s="8">
        <v>2370</v>
      </c>
      <c r="O55" s="8">
        <v>1673</v>
      </c>
      <c r="P55" s="8">
        <v>712</v>
      </c>
      <c r="Q55" s="8">
        <v>400</v>
      </c>
      <c r="R55" s="8">
        <v>1172</v>
      </c>
      <c r="S55" s="8">
        <v>1620</v>
      </c>
      <c r="T55" s="9">
        <v>7923</v>
      </c>
      <c r="U55" s="7">
        <v>3000</v>
      </c>
      <c r="V55" s="8">
        <v>6504</v>
      </c>
      <c r="W55" s="8">
        <v>557</v>
      </c>
      <c r="X55" s="8">
        <v>1549</v>
      </c>
      <c r="Y55" s="8">
        <v>1332</v>
      </c>
      <c r="Z55" s="8">
        <v>1726</v>
      </c>
      <c r="AA55" s="8">
        <v>923</v>
      </c>
      <c r="AB55" s="8">
        <v>2293</v>
      </c>
      <c r="AC55" s="8">
        <v>1903</v>
      </c>
      <c r="AD55" s="8">
        <v>550</v>
      </c>
      <c r="AE55" s="8">
        <v>420</v>
      </c>
      <c r="AF55" s="8">
        <v>1289</v>
      </c>
      <c r="AG55" s="8">
        <v>1708</v>
      </c>
      <c r="AH55" s="9">
        <v>7889</v>
      </c>
    </row>
    <row r="56" spans="1:34" x14ac:dyDescent="0.25">
      <c r="A56" s="7" t="s">
        <v>16</v>
      </c>
      <c r="B56" s="14" t="s">
        <v>57</v>
      </c>
      <c r="C56" s="7">
        <v>55</v>
      </c>
      <c r="D56" s="8">
        <v>27</v>
      </c>
      <c r="E56" s="42" t="s">
        <v>58</v>
      </c>
      <c r="F56" s="9">
        <v>5.14</v>
      </c>
      <c r="G56" s="7">
        <v>3392</v>
      </c>
      <c r="H56" s="8">
        <v>6782</v>
      </c>
      <c r="I56" s="8">
        <v>694</v>
      </c>
      <c r="J56" s="8">
        <v>1764</v>
      </c>
      <c r="K56" s="8">
        <v>1548</v>
      </c>
      <c r="L56" s="8">
        <v>1977</v>
      </c>
      <c r="M56" s="8">
        <v>720</v>
      </c>
      <c r="N56" s="8">
        <v>2683</v>
      </c>
      <c r="O56" s="8">
        <v>2188</v>
      </c>
      <c r="P56" s="8">
        <v>532</v>
      </c>
      <c r="Q56" s="8">
        <v>518</v>
      </c>
      <c r="R56" s="8">
        <v>1184</v>
      </c>
      <c r="S56" s="8">
        <v>1633</v>
      </c>
      <c r="T56" s="9">
        <v>9026</v>
      </c>
      <c r="U56" s="7">
        <v>3368</v>
      </c>
      <c r="V56" s="8">
        <v>7384</v>
      </c>
      <c r="W56" s="8">
        <v>469</v>
      </c>
      <c r="X56" s="8">
        <v>1329</v>
      </c>
      <c r="Y56" s="8">
        <v>1407</v>
      </c>
      <c r="Z56" s="8">
        <v>1879</v>
      </c>
      <c r="AA56" s="8">
        <v>1101</v>
      </c>
      <c r="AB56" s="8">
        <v>2498</v>
      </c>
      <c r="AC56" s="8">
        <v>1607</v>
      </c>
      <c r="AD56" s="8">
        <v>601</v>
      </c>
      <c r="AE56" s="8">
        <v>311</v>
      </c>
      <c r="AF56" s="8">
        <v>1101</v>
      </c>
      <c r="AG56" s="8">
        <v>1731</v>
      </c>
      <c r="AH56" s="9">
        <v>8612</v>
      </c>
    </row>
    <row r="57" spans="1:34" x14ac:dyDescent="0.25">
      <c r="A57" s="7" t="s">
        <v>55</v>
      </c>
      <c r="B57" s="14" t="s">
        <v>57</v>
      </c>
      <c r="C57" s="7">
        <v>41</v>
      </c>
      <c r="D57" s="8">
        <v>41</v>
      </c>
      <c r="E57" s="42" t="s">
        <v>59</v>
      </c>
      <c r="F57" s="9">
        <v>-0.52</v>
      </c>
      <c r="G57" s="7">
        <v>2935</v>
      </c>
      <c r="H57" s="8">
        <v>6546</v>
      </c>
      <c r="I57" s="8">
        <v>538</v>
      </c>
      <c r="J57" s="8">
        <v>1426</v>
      </c>
      <c r="K57" s="8">
        <v>1412</v>
      </c>
      <c r="L57" s="8">
        <v>1841</v>
      </c>
      <c r="M57" s="8">
        <v>901</v>
      </c>
      <c r="N57" s="8">
        <v>2438</v>
      </c>
      <c r="O57" s="8">
        <v>1733</v>
      </c>
      <c r="P57" s="8">
        <v>455</v>
      </c>
      <c r="Q57" s="8">
        <v>360</v>
      </c>
      <c r="R57" s="8">
        <v>1056</v>
      </c>
      <c r="S57" s="8">
        <v>1642</v>
      </c>
      <c r="T57" s="9">
        <v>7820</v>
      </c>
      <c r="U57" s="7">
        <v>2983</v>
      </c>
      <c r="V57" s="8">
        <v>6616</v>
      </c>
      <c r="W57" s="8">
        <v>533</v>
      </c>
      <c r="X57" s="8">
        <v>1499</v>
      </c>
      <c r="Y57" s="8">
        <v>1401</v>
      </c>
      <c r="Z57" s="8">
        <v>1828</v>
      </c>
      <c r="AA57" s="8">
        <v>957</v>
      </c>
      <c r="AB57" s="8">
        <v>2465</v>
      </c>
      <c r="AC57" s="8">
        <v>1714</v>
      </c>
      <c r="AD57" s="8">
        <v>488</v>
      </c>
      <c r="AE57" s="8">
        <v>301</v>
      </c>
      <c r="AF57" s="8">
        <v>1026</v>
      </c>
      <c r="AG57" s="8">
        <v>1656</v>
      </c>
      <c r="AH57" s="9">
        <v>7900</v>
      </c>
    </row>
    <row r="58" spans="1:34" x14ac:dyDescent="0.25">
      <c r="A58" s="7" t="s">
        <v>20</v>
      </c>
      <c r="B58" s="14" t="s">
        <v>57</v>
      </c>
      <c r="C58" s="7">
        <v>38</v>
      </c>
      <c r="D58" s="8">
        <v>44</v>
      </c>
      <c r="E58" s="42" t="s">
        <v>59</v>
      </c>
      <c r="F58" s="9">
        <v>-1.85</v>
      </c>
      <c r="G58" s="7">
        <v>3043</v>
      </c>
      <c r="H58" s="8">
        <v>6558</v>
      </c>
      <c r="I58" s="8">
        <v>510</v>
      </c>
      <c r="J58" s="8">
        <v>1367</v>
      </c>
      <c r="K58" s="8">
        <v>1812</v>
      </c>
      <c r="L58" s="8">
        <v>2272</v>
      </c>
      <c r="M58" s="8">
        <v>829</v>
      </c>
      <c r="N58" s="8">
        <v>2456</v>
      </c>
      <c r="O58" s="8">
        <v>1567</v>
      </c>
      <c r="P58" s="8">
        <v>651</v>
      </c>
      <c r="Q58" s="8">
        <v>334</v>
      </c>
      <c r="R58" s="8">
        <v>1317</v>
      </c>
      <c r="S58" s="8">
        <v>1839</v>
      </c>
      <c r="T58" s="9">
        <v>8408</v>
      </c>
      <c r="U58" s="7">
        <v>3137</v>
      </c>
      <c r="V58" s="8">
        <v>6732</v>
      </c>
      <c r="W58" s="8">
        <v>597</v>
      </c>
      <c r="X58" s="8">
        <v>1600</v>
      </c>
      <c r="Y58" s="8">
        <v>1722</v>
      </c>
      <c r="Z58" s="8">
        <v>2287</v>
      </c>
      <c r="AA58" s="8">
        <v>970</v>
      </c>
      <c r="AB58" s="8">
        <v>2465</v>
      </c>
      <c r="AC58" s="8">
        <v>1878</v>
      </c>
      <c r="AD58" s="8">
        <v>661</v>
      </c>
      <c r="AE58" s="8">
        <v>452</v>
      </c>
      <c r="AF58" s="8">
        <v>1250</v>
      </c>
      <c r="AG58" s="8">
        <v>1892</v>
      </c>
      <c r="AH58" s="9">
        <v>8593</v>
      </c>
    </row>
    <row r="59" spans="1:34" x14ac:dyDescent="0.25">
      <c r="A59" s="7" t="s">
        <v>76</v>
      </c>
      <c r="B59" s="14" t="s">
        <v>57</v>
      </c>
      <c r="C59" s="7">
        <v>56</v>
      </c>
      <c r="D59" s="8">
        <v>26</v>
      </c>
      <c r="E59" s="42" t="s">
        <v>58</v>
      </c>
      <c r="F59" s="9">
        <v>5.0999999999999996</v>
      </c>
      <c r="G59" s="7">
        <v>2938</v>
      </c>
      <c r="H59" s="8">
        <v>6424</v>
      </c>
      <c r="I59" s="8">
        <v>594</v>
      </c>
      <c r="J59" s="8">
        <v>1610</v>
      </c>
      <c r="K59" s="8">
        <v>1350</v>
      </c>
      <c r="L59" s="8">
        <v>1774</v>
      </c>
      <c r="M59" s="8">
        <v>771</v>
      </c>
      <c r="N59" s="8">
        <v>2612</v>
      </c>
      <c r="O59" s="8">
        <v>1718</v>
      </c>
      <c r="P59" s="8">
        <v>521</v>
      </c>
      <c r="Q59" s="8">
        <v>337</v>
      </c>
      <c r="R59" s="8">
        <v>1035</v>
      </c>
      <c r="S59" s="8">
        <v>1537</v>
      </c>
      <c r="T59" s="9">
        <v>7820</v>
      </c>
      <c r="U59" s="7">
        <v>2857</v>
      </c>
      <c r="V59" s="8">
        <v>6431</v>
      </c>
      <c r="W59" s="8">
        <v>420</v>
      </c>
      <c r="X59" s="8">
        <v>1227</v>
      </c>
      <c r="Y59" s="8">
        <v>1293</v>
      </c>
      <c r="Z59" s="8">
        <v>1710</v>
      </c>
      <c r="AA59" s="8">
        <v>776</v>
      </c>
      <c r="AB59" s="8">
        <v>2527</v>
      </c>
      <c r="AC59" s="8">
        <v>1490</v>
      </c>
      <c r="AD59" s="8">
        <v>566</v>
      </c>
      <c r="AE59" s="8">
        <v>361</v>
      </c>
      <c r="AF59" s="8">
        <v>1058</v>
      </c>
      <c r="AG59" s="8">
        <v>1625</v>
      </c>
      <c r="AH59" s="9">
        <v>7427</v>
      </c>
    </row>
    <row r="60" spans="1:34" x14ac:dyDescent="0.25">
      <c r="A60" s="7" t="s">
        <v>56</v>
      </c>
      <c r="B60" s="14" t="s">
        <v>57</v>
      </c>
      <c r="C60" s="7">
        <v>20</v>
      </c>
      <c r="D60" s="8">
        <v>62</v>
      </c>
      <c r="E60" s="42" t="s">
        <v>59</v>
      </c>
      <c r="F60" s="9">
        <v>-8.0399999999999991</v>
      </c>
      <c r="G60" s="7">
        <v>3125</v>
      </c>
      <c r="H60" s="8">
        <v>7032</v>
      </c>
      <c r="I60" s="8">
        <v>313</v>
      </c>
      <c r="J60" s="8">
        <v>939</v>
      </c>
      <c r="K60" s="8">
        <v>1436</v>
      </c>
      <c r="L60" s="8">
        <v>1866</v>
      </c>
      <c r="M60" s="8">
        <v>971</v>
      </c>
      <c r="N60" s="8">
        <v>2688</v>
      </c>
      <c r="O60" s="8">
        <v>1748</v>
      </c>
      <c r="P60" s="8">
        <v>531</v>
      </c>
      <c r="Q60" s="8">
        <v>400</v>
      </c>
      <c r="R60" s="8">
        <v>1310</v>
      </c>
      <c r="S60" s="8">
        <v>1680</v>
      </c>
      <c r="T60" s="9">
        <v>7999</v>
      </c>
      <c r="U60" s="7">
        <v>3288</v>
      </c>
      <c r="V60" s="8">
        <v>7136</v>
      </c>
      <c r="W60" s="8">
        <v>607</v>
      </c>
      <c r="X60" s="8">
        <v>1576</v>
      </c>
      <c r="Y60" s="8">
        <v>1534</v>
      </c>
      <c r="Z60" s="8">
        <v>2048</v>
      </c>
      <c r="AA60" s="8">
        <v>961</v>
      </c>
      <c r="AB60" s="8">
        <v>2655</v>
      </c>
      <c r="AC60" s="8">
        <v>1997</v>
      </c>
      <c r="AD60" s="8">
        <v>706</v>
      </c>
      <c r="AE60" s="8">
        <v>440</v>
      </c>
      <c r="AF60" s="8">
        <v>1082</v>
      </c>
      <c r="AG60" s="8">
        <v>1610</v>
      </c>
      <c r="AH60" s="9">
        <v>8717</v>
      </c>
    </row>
    <row r="61" spans="1:34" x14ac:dyDescent="0.25">
      <c r="A61" s="7" t="s">
        <v>22</v>
      </c>
      <c r="B61" s="14" t="s">
        <v>57</v>
      </c>
      <c r="C61" s="7">
        <v>41</v>
      </c>
      <c r="D61" s="8">
        <v>41</v>
      </c>
      <c r="E61" s="42" t="s">
        <v>58</v>
      </c>
      <c r="F61" s="9">
        <v>2.4700000000000002</v>
      </c>
      <c r="G61" s="7">
        <v>3148</v>
      </c>
      <c r="H61" s="8">
        <v>6726</v>
      </c>
      <c r="I61" s="8">
        <v>572</v>
      </c>
      <c r="J61" s="8">
        <v>1459</v>
      </c>
      <c r="K61" s="8">
        <v>1347</v>
      </c>
      <c r="L61" s="8">
        <v>1658</v>
      </c>
      <c r="M61" s="8">
        <v>790</v>
      </c>
      <c r="N61" s="8">
        <v>2496</v>
      </c>
      <c r="O61" s="8">
        <v>1953</v>
      </c>
      <c r="P61" s="8">
        <v>570</v>
      </c>
      <c r="Q61" s="8">
        <v>336</v>
      </c>
      <c r="R61" s="8">
        <v>959</v>
      </c>
      <c r="S61" s="8">
        <v>1596</v>
      </c>
      <c r="T61" s="9">
        <v>8215</v>
      </c>
      <c r="U61" s="7">
        <v>3007</v>
      </c>
      <c r="V61" s="8">
        <v>6569</v>
      </c>
      <c r="W61" s="8">
        <v>619</v>
      </c>
      <c r="X61" s="8">
        <v>1683</v>
      </c>
      <c r="Y61" s="8">
        <v>1344</v>
      </c>
      <c r="Z61" s="8">
        <v>1732</v>
      </c>
      <c r="AA61" s="8">
        <v>830</v>
      </c>
      <c r="AB61" s="8">
        <v>2583</v>
      </c>
      <c r="AC61" s="8">
        <v>1797</v>
      </c>
      <c r="AD61" s="8">
        <v>470</v>
      </c>
      <c r="AE61" s="8">
        <v>333</v>
      </c>
      <c r="AF61" s="8">
        <v>1149</v>
      </c>
      <c r="AG61" s="8">
        <v>1508</v>
      </c>
      <c r="AH61" s="9">
        <v>7977</v>
      </c>
    </row>
    <row r="62" spans="1:34" x14ac:dyDescent="0.25">
      <c r="A62" s="7" t="s">
        <v>67</v>
      </c>
      <c r="B62" s="14" t="s">
        <v>57</v>
      </c>
      <c r="C62" s="7">
        <v>54</v>
      </c>
      <c r="D62" s="8">
        <v>28</v>
      </c>
      <c r="E62" s="42" t="s">
        <v>58</v>
      </c>
      <c r="F62" s="9">
        <v>6.87</v>
      </c>
      <c r="G62" s="7">
        <v>3279</v>
      </c>
      <c r="H62" s="8">
        <v>6592</v>
      </c>
      <c r="I62" s="8">
        <v>407</v>
      </c>
      <c r="J62" s="8">
        <v>1095</v>
      </c>
      <c r="K62" s="8">
        <v>1745</v>
      </c>
      <c r="L62" s="8">
        <v>2298</v>
      </c>
      <c r="M62" s="8">
        <v>942</v>
      </c>
      <c r="N62" s="8">
        <v>2410</v>
      </c>
      <c r="O62" s="8">
        <v>2165</v>
      </c>
      <c r="P62" s="8">
        <v>717</v>
      </c>
      <c r="Q62" s="8">
        <v>355</v>
      </c>
      <c r="R62" s="8">
        <v>1200</v>
      </c>
      <c r="S62" s="8">
        <v>1970</v>
      </c>
      <c r="T62" s="9">
        <v>8710</v>
      </c>
      <c r="U62" s="7">
        <v>2896</v>
      </c>
      <c r="V62" s="8">
        <v>6286</v>
      </c>
      <c r="W62" s="8">
        <v>506</v>
      </c>
      <c r="X62" s="8">
        <v>1419</v>
      </c>
      <c r="Y62" s="8">
        <v>1848</v>
      </c>
      <c r="Z62" s="8">
        <v>2468</v>
      </c>
      <c r="AA62" s="8">
        <v>844</v>
      </c>
      <c r="AB62" s="8">
        <v>2256</v>
      </c>
      <c r="AC62" s="8">
        <v>1629</v>
      </c>
      <c r="AD62" s="8">
        <v>619</v>
      </c>
      <c r="AE62" s="8">
        <v>420</v>
      </c>
      <c r="AF62" s="8">
        <v>1305</v>
      </c>
      <c r="AG62" s="8">
        <v>1891</v>
      </c>
      <c r="AH62" s="9">
        <v>8146</v>
      </c>
    </row>
    <row r="63" spans="1:34" ht="15.75" thickBot="1" x14ac:dyDescent="0.3">
      <c r="A63" s="10" t="s">
        <v>26</v>
      </c>
      <c r="B63" s="15" t="s">
        <v>57</v>
      </c>
      <c r="C63" s="10">
        <v>43</v>
      </c>
      <c r="D63" s="11">
        <v>39</v>
      </c>
      <c r="E63" s="43" t="s">
        <v>58</v>
      </c>
      <c r="F63" s="12">
        <v>-0.61</v>
      </c>
      <c r="G63" s="10">
        <v>2986</v>
      </c>
      <c r="H63" s="11">
        <v>6695</v>
      </c>
      <c r="I63" s="11">
        <v>575</v>
      </c>
      <c r="J63" s="11">
        <v>1614</v>
      </c>
      <c r="K63" s="11">
        <v>1557</v>
      </c>
      <c r="L63" s="11">
        <v>1991</v>
      </c>
      <c r="M63" s="11">
        <v>1007</v>
      </c>
      <c r="N63" s="11">
        <v>2404</v>
      </c>
      <c r="O63" s="11">
        <v>1607</v>
      </c>
      <c r="P63" s="11">
        <v>632</v>
      </c>
      <c r="Q63" s="11">
        <v>391</v>
      </c>
      <c r="R63" s="11">
        <v>1082</v>
      </c>
      <c r="S63" s="11">
        <v>1606</v>
      </c>
      <c r="T63" s="12">
        <v>8104</v>
      </c>
      <c r="U63" s="10">
        <v>3015</v>
      </c>
      <c r="V63" s="11">
        <v>6537</v>
      </c>
      <c r="W63" s="11">
        <v>683</v>
      </c>
      <c r="X63" s="11">
        <v>1768</v>
      </c>
      <c r="Y63" s="11">
        <v>1418</v>
      </c>
      <c r="Z63" s="11">
        <v>1880</v>
      </c>
      <c r="AA63" s="11">
        <v>900</v>
      </c>
      <c r="AB63" s="11">
        <v>2478</v>
      </c>
      <c r="AC63" s="11">
        <v>1958</v>
      </c>
      <c r="AD63" s="11">
        <v>529</v>
      </c>
      <c r="AE63" s="11">
        <v>360</v>
      </c>
      <c r="AF63" s="11">
        <v>1149</v>
      </c>
      <c r="AG63" s="11">
        <v>1656</v>
      </c>
      <c r="AH63" s="12">
        <v>8131</v>
      </c>
    </row>
    <row r="64" spans="1:34" x14ac:dyDescent="0.25">
      <c r="A64" s="4" t="s">
        <v>60</v>
      </c>
      <c r="B64" s="13" t="s">
        <v>64</v>
      </c>
      <c r="C64" s="4">
        <v>30</v>
      </c>
      <c r="D64" s="5">
        <v>52</v>
      </c>
      <c r="E64" s="41" t="s">
        <v>59</v>
      </c>
      <c r="F64" s="6">
        <v>-4.8600000000000003</v>
      </c>
      <c r="G64" s="4">
        <v>2831</v>
      </c>
      <c r="H64" s="5">
        <v>6372</v>
      </c>
      <c r="I64" s="5">
        <v>341</v>
      </c>
      <c r="J64" s="5">
        <v>1038</v>
      </c>
      <c r="K64" s="5">
        <v>1677</v>
      </c>
      <c r="L64" s="5">
        <v>2203</v>
      </c>
      <c r="M64" s="5">
        <v>976</v>
      </c>
      <c r="N64" s="5">
        <v>2312</v>
      </c>
      <c r="O64" s="5">
        <v>1573</v>
      </c>
      <c r="P64" s="5">
        <v>609</v>
      </c>
      <c r="Q64" s="5">
        <v>446</v>
      </c>
      <c r="R64" s="5">
        <v>1306</v>
      </c>
      <c r="S64" s="5">
        <v>1970</v>
      </c>
      <c r="T64" s="6">
        <v>7680</v>
      </c>
      <c r="U64" s="4">
        <v>2953</v>
      </c>
      <c r="V64" s="5">
        <v>6335</v>
      </c>
      <c r="W64" s="5">
        <v>465</v>
      </c>
      <c r="X64" s="5">
        <v>1236</v>
      </c>
      <c r="Y64" s="5">
        <v>1699</v>
      </c>
      <c r="Z64" s="5">
        <v>2315</v>
      </c>
      <c r="AA64" s="5">
        <v>948</v>
      </c>
      <c r="AB64" s="5">
        <v>2370</v>
      </c>
      <c r="AC64" s="5">
        <v>1732</v>
      </c>
      <c r="AD64" s="5">
        <v>597</v>
      </c>
      <c r="AE64" s="5">
        <v>421</v>
      </c>
      <c r="AF64" s="5">
        <v>1247</v>
      </c>
      <c r="AG64" s="5">
        <v>1853</v>
      </c>
      <c r="AH64" s="6">
        <v>8070</v>
      </c>
    </row>
    <row r="65" spans="1:34" x14ac:dyDescent="0.25">
      <c r="A65" s="7" t="s">
        <v>61</v>
      </c>
      <c r="B65" s="14" t="s">
        <v>64</v>
      </c>
      <c r="C65" s="7">
        <v>24</v>
      </c>
      <c r="D65" s="8">
        <v>58</v>
      </c>
      <c r="E65" s="42" t="s">
        <v>59</v>
      </c>
      <c r="F65" s="9">
        <v>-3.71</v>
      </c>
      <c r="G65" s="7">
        <v>2858</v>
      </c>
      <c r="H65" s="8">
        <v>6454</v>
      </c>
      <c r="I65" s="8">
        <v>471</v>
      </c>
      <c r="J65" s="8">
        <v>1283</v>
      </c>
      <c r="K65" s="8">
        <v>1670</v>
      </c>
      <c r="L65" s="8">
        <v>2178</v>
      </c>
      <c r="M65" s="8">
        <v>918</v>
      </c>
      <c r="N65" s="8">
        <v>2391</v>
      </c>
      <c r="O65" s="8">
        <v>1630</v>
      </c>
      <c r="P65" s="8">
        <v>589</v>
      </c>
      <c r="Q65" s="8">
        <v>382</v>
      </c>
      <c r="R65" s="8">
        <v>1350</v>
      </c>
      <c r="S65" s="8">
        <v>1971</v>
      </c>
      <c r="T65" s="9">
        <v>7857</v>
      </c>
      <c r="U65" s="7">
        <v>2966</v>
      </c>
      <c r="V65" s="8">
        <v>6337</v>
      </c>
      <c r="W65" s="8">
        <v>429</v>
      </c>
      <c r="X65" s="8">
        <v>1212</v>
      </c>
      <c r="Y65" s="8">
        <v>1776</v>
      </c>
      <c r="Z65" s="8">
        <v>2376</v>
      </c>
      <c r="AA65" s="8">
        <v>848</v>
      </c>
      <c r="AB65" s="8">
        <v>2476</v>
      </c>
      <c r="AC65" s="8">
        <v>1811</v>
      </c>
      <c r="AD65" s="8">
        <v>604</v>
      </c>
      <c r="AE65" s="8">
        <v>449</v>
      </c>
      <c r="AF65" s="8">
        <v>1250</v>
      </c>
      <c r="AG65" s="8">
        <v>1757</v>
      </c>
      <c r="AH65" s="9">
        <v>8137</v>
      </c>
    </row>
    <row r="66" spans="1:34" x14ac:dyDescent="0.25">
      <c r="A66" s="7" t="s">
        <v>29</v>
      </c>
      <c r="B66" s="14" t="s">
        <v>64</v>
      </c>
      <c r="C66" s="7">
        <v>33</v>
      </c>
      <c r="D66" s="8">
        <v>49</v>
      </c>
      <c r="E66" s="42" t="s">
        <v>59</v>
      </c>
      <c r="F66" s="9">
        <v>-3.97</v>
      </c>
      <c r="G66" s="7">
        <v>2960</v>
      </c>
      <c r="H66" s="8">
        <v>6643</v>
      </c>
      <c r="I66" s="8">
        <v>457</v>
      </c>
      <c r="J66" s="8">
        <v>1280</v>
      </c>
      <c r="K66" s="8">
        <v>1568</v>
      </c>
      <c r="L66" s="8">
        <v>2136</v>
      </c>
      <c r="M66" s="8">
        <v>920</v>
      </c>
      <c r="N66" s="8">
        <v>2346</v>
      </c>
      <c r="O66" s="8">
        <v>1836</v>
      </c>
      <c r="P66" s="8">
        <v>638</v>
      </c>
      <c r="Q66" s="8">
        <v>369</v>
      </c>
      <c r="R66" s="8">
        <v>1224</v>
      </c>
      <c r="S66" s="8">
        <v>1985</v>
      </c>
      <c r="T66" s="9">
        <v>7945</v>
      </c>
      <c r="U66" s="7">
        <v>2999</v>
      </c>
      <c r="V66" s="8">
        <v>6450</v>
      </c>
      <c r="W66" s="8">
        <v>452</v>
      </c>
      <c r="X66" s="8">
        <v>1245</v>
      </c>
      <c r="Y66" s="8">
        <v>1802</v>
      </c>
      <c r="Z66" s="8">
        <v>2404</v>
      </c>
      <c r="AA66" s="8">
        <v>929</v>
      </c>
      <c r="AB66" s="8">
        <v>2562</v>
      </c>
      <c r="AC66" s="8">
        <v>1717</v>
      </c>
      <c r="AD66" s="8">
        <v>603</v>
      </c>
      <c r="AE66" s="8">
        <v>437</v>
      </c>
      <c r="AF66" s="8">
        <v>1296</v>
      </c>
      <c r="AG66" s="8">
        <v>1786</v>
      </c>
      <c r="AH66" s="9">
        <v>8252</v>
      </c>
    </row>
    <row r="67" spans="1:34" x14ac:dyDescent="0.25">
      <c r="A67" s="7" t="s">
        <v>53</v>
      </c>
      <c r="B67" s="14" t="s">
        <v>64</v>
      </c>
      <c r="C67" s="7">
        <v>49</v>
      </c>
      <c r="D67" s="8">
        <v>33</v>
      </c>
      <c r="E67" s="42" t="s">
        <v>58</v>
      </c>
      <c r="F67" s="9">
        <v>4.5199999999999996</v>
      </c>
      <c r="G67" s="7">
        <v>3046</v>
      </c>
      <c r="H67" s="8">
        <v>6663</v>
      </c>
      <c r="I67" s="8">
        <v>480</v>
      </c>
      <c r="J67" s="8">
        <v>1237</v>
      </c>
      <c r="K67" s="8">
        <v>1528</v>
      </c>
      <c r="L67" s="8">
        <v>2083</v>
      </c>
      <c r="M67" s="8">
        <v>984</v>
      </c>
      <c r="N67" s="8">
        <v>2597</v>
      </c>
      <c r="O67" s="8">
        <v>1832</v>
      </c>
      <c r="P67" s="8">
        <v>639</v>
      </c>
      <c r="Q67" s="8">
        <v>445</v>
      </c>
      <c r="R67" s="8">
        <v>1310</v>
      </c>
      <c r="S67" s="8">
        <v>1908</v>
      </c>
      <c r="T67" s="9">
        <v>8100</v>
      </c>
      <c r="U67" s="7">
        <v>2793</v>
      </c>
      <c r="V67" s="8">
        <v>6416</v>
      </c>
      <c r="W67" s="8">
        <v>484</v>
      </c>
      <c r="X67" s="8">
        <v>1387</v>
      </c>
      <c r="Y67" s="8">
        <v>1619</v>
      </c>
      <c r="Z67" s="8">
        <v>2219</v>
      </c>
      <c r="AA67" s="8">
        <v>897</v>
      </c>
      <c r="AB67" s="8">
        <v>2456</v>
      </c>
      <c r="AC67" s="8">
        <v>1675</v>
      </c>
      <c r="AD67" s="8">
        <v>614</v>
      </c>
      <c r="AE67" s="8">
        <v>433</v>
      </c>
      <c r="AF67" s="8">
        <v>1429</v>
      </c>
      <c r="AG67" s="8">
        <v>1900</v>
      </c>
      <c r="AH67" s="9">
        <v>7689</v>
      </c>
    </row>
    <row r="68" spans="1:34" x14ac:dyDescent="0.25">
      <c r="A68" s="7" t="s">
        <v>69</v>
      </c>
      <c r="B68" s="14" t="s">
        <v>64</v>
      </c>
      <c r="C68" s="7">
        <v>50</v>
      </c>
      <c r="D68" s="8">
        <v>32</v>
      </c>
      <c r="E68" s="42" t="s">
        <v>58</v>
      </c>
      <c r="F68" s="9">
        <v>3.33</v>
      </c>
      <c r="G68" s="7">
        <v>2978</v>
      </c>
      <c r="H68" s="8">
        <v>6658</v>
      </c>
      <c r="I68" s="8">
        <v>494</v>
      </c>
      <c r="J68" s="8">
        <v>1404</v>
      </c>
      <c r="K68" s="8">
        <v>1484</v>
      </c>
      <c r="L68" s="8">
        <v>2133</v>
      </c>
      <c r="M68" s="8">
        <v>1039</v>
      </c>
      <c r="N68" s="8">
        <v>2529</v>
      </c>
      <c r="O68" s="8">
        <v>1708</v>
      </c>
      <c r="P68" s="8">
        <v>625</v>
      </c>
      <c r="Q68" s="8">
        <v>353</v>
      </c>
      <c r="R68" s="8">
        <v>1177</v>
      </c>
      <c r="S68" s="8">
        <v>1781</v>
      </c>
      <c r="T68" s="9">
        <v>7934</v>
      </c>
      <c r="U68" s="7">
        <v>2838</v>
      </c>
      <c r="V68" s="8">
        <v>6337</v>
      </c>
      <c r="W68" s="8">
        <v>405</v>
      </c>
      <c r="X68" s="8">
        <v>1231</v>
      </c>
      <c r="Y68" s="8">
        <v>1539</v>
      </c>
      <c r="Z68" s="8">
        <v>2096</v>
      </c>
      <c r="AA68" s="8">
        <v>807</v>
      </c>
      <c r="AB68" s="8">
        <v>2461</v>
      </c>
      <c r="AC68" s="8">
        <v>1649</v>
      </c>
      <c r="AD68" s="8">
        <v>540</v>
      </c>
      <c r="AE68" s="8">
        <v>349</v>
      </c>
      <c r="AF68" s="8">
        <v>1254</v>
      </c>
      <c r="AG68" s="8">
        <v>1804</v>
      </c>
      <c r="AH68" s="9">
        <v>7620</v>
      </c>
    </row>
    <row r="69" spans="1:34" x14ac:dyDescent="0.25">
      <c r="A69" s="7" t="s">
        <v>73</v>
      </c>
      <c r="B69" s="14" t="s">
        <v>64</v>
      </c>
      <c r="C69" s="7">
        <v>67</v>
      </c>
      <c r="D69" s="8">
        <v>15</v>
      </c>
      <c r="E69" s="42" t="s">
        <v>58</v>
      </c>
      <c r="F69" s="9">
        <v>7.28</v>
      </c>
      <c r="G69" s="7">
        <v>3010</v>
      </c>
      <c r="H69" s="8">
        <v>6442</v>
      </c>
      <c r="I69" s="8">
        <v>535</v>
      </c>
      <c r="J69" s="8">
        <v>1404</v>
      </c>
      <c r="K69" s="8">
        <v>1646</v>
      </c>
      <c r="L69" s="8">
        <v>2045</v>
      </c>
      <c r="M69" s="8">
        <v>920</v>
      </c>
      <c r="N69" s="8">
        <v>2515</v>
      </c>
      <c r="O69" s="8">
        <v>1632</v>
      </c>
      <c r="P69" s="8">
        <v>560</v>
      </c>
      <c r="Q69" s="8">
        <v>408</v>
      </c>
      <c r="R69" s="8">
        <v>1140</v>
      </c>
      <c r="S69" s="8">
        <v>1837</v>
      </c>
      <c r="T69" s="9">
        <v>8201</v>
      </c>
      <c r="U69" s="7">
        <v>2790</v>
      </c>
      <c r="V69" s="8">
        <v>6241</v>
      </c>
      <c r="W69" s="8">
        <v>375</v>
      </c>
      <c r="X69" s="8">
        <v>1074</v>
      </c>
      <c r="Y69" s="8">
        <v>1654</v>
      </c>
      <c r="Z69" s="8">
        <v>2216</v>
      </c>
      <c r="AA69" s="8">
        <v>839</v>
      </c>
      <c r="AB69" s="8">
        <v>2286</v>
      </c>
      <c r="AC69" s="8">
        <v>1471</v>
      </c>
      <c r="AD69" s="8">
        <v>565</v>
      </c>
      <c r="AE69" s="8">
        <v>312</v>
      </c>
      <c r="AF69" s="8">
        <v>1190</v>
      </c>
      <c r="AG69" s="8">
        <v>1811</v>
      </c>
      <c r="AH69" s="9">
        <v>7609</v>
      </c>
    </row>
    <row r="70" spans="1:34" x14ac:dyDescent="0.25">
      <c r="A70" s="7" t="s">
        <v>74</v>
      </c>
      <c r="B70" s="14" t="s">
        <v>64</v>
      </c>
      <c r="C70" s="7">
        <v>45</v>
      </c>
      <c r="D70" s="8">
        <v>37</v>
      </c>
      <c r="E70" s="42" t="s">
        <v>58</v>
      </c>
      <c r="F70" s="9">
        <v>1.69</v>
      </c>
      <c r="G70" s="7">
        <v>3164</v>
      </c>
      <c r="H70" s="8">
        <v>6805</v>
      </c>
      <c r="I70" s="8">
        <v>484</v>
      </c>
      <c r="J70" s="8">
        <v>1440</v>
      </c>
      <c r="K70" s="8">
        <v>1827</v>
      </c>
      <c r="L70" s="8">
        <v>2449</v>
      </c>
      <c r="M70" s="8">
        <v>1001</v>
      </c>
      <c r="N70" s="8">
        <v>2558</v>
      </c>
      <c r="O70" s="8">
        <v>1920</v>
      </c>
      <c r="P70" s="8">
        <v>678</v>
      </c>
      <c r="Q70" s="8">
        <v>435</v>
      </c>
      <c r="R70" s="8">
        <v>1352</v>
      </c>
      <c r="S70" s="8">
        <v>1756</v>
      </c>
      <c r="T70" s="9">
        <v>8639</v>
      </c>
      <c r="U70" s="7">
        <v>3257</v>
      </c>
      <c r="V70" s="8">
        <v>7088</v>
      </c>
      <c r="W70" s="8">
        <v>554</v>
      </c>
      <c r="X70" s="8">
        <v>1569</v>
      </c>
      <c r="Y70" s="8">
        <v>1438</v>
      </c>
      <c r="Z70" s="8">
        <v>1945</v>
      </c>
      <c r="AA70" s="8">
        <v>1006</v>
      </c>
      <c r="AB70" s="8">
        <v>2461</v>
      </c>
      <c r="AC70" s="8">
        <v>2010</v>
      </c>
      <c r="AD70" s="8">
        <v>680</v>
      </c>
      <c r="AE70" s="8">
        <v>424</v>
      </c>
      <c r="AF70" s="8">
        <v>1343</v>
      </c>
      <c r="AG70" s="8">
        <v>1946</v>
      </c>
      <c r="AH70" s="9">
        <v>8506</v>
      </c>
    </row>
    <row r="71" spans="1:34" x14ac:dyDescent="0.25">
      <c r="A71" s="7" t="s">
        <v>75</v>
      </c>
      <c r="B71" s="14" t="s">
        <v>64</v>
      </c>
      <c r="C71" s="7">
        <v>53</v>
      </c>
      <c r="D71" s="8">
        <v>29</v>
      </c>
      <c r="E71" s="42" t="s">
        <v>58</v>
      </c>
      <c r="F71" s="9">
        <v>3.68</v>
      </c>
      <c r="G71" s="7">
        <v>2942</v>
      </c>
      <c r="H71" s="8">
        <v>6484</v>
      </c>
      <c r="I71" s="8">
        <v>449</v>
      </c>
      <c r="J71" s="8">
        <v>1305</v>
      </c>
      <c r="K71" s="8">
        <v>1539</v>
      </c>
      <c r="L71" s="8">
        <v>1988</v>
      </c>
      <c r="M71" s="8">
        <v>948</v>
      </c>
      <c r="N71" s="8">
        <v>2374</v>
      </c>
      <c r="O71" s="8">
        <v>1768</v>
      </c>
      <c r="P71" s="8">
        <v>583</v>
      </c>
      <c r="Q71" s="8">
        <v>472</v>
      </c>
      <c r="R71" s="8">
        <v>1001</v>
      </c>
      <c r="S71" s="8">
        <v>1672</v>
      </c>
      <c r="T71" s="9">
        <v>7872</v>
      </c>
      <c r="U71" s="7">
        <v>2819</v>
      </c>
      <c r="V71" s="8">
        <v>6337</v>
      </c>
      <c r="W71" s="8">
        <v>409</v>
      </c>
      <c r="X71" s="8">
        <v>1205</v>
      </c>
      <c r="Y71" s="8">
        <v>1484</v>
      </c>
      <c r="Z71" s="8">
        <v>2006</v>
      </c>
      <c r="AA71" s="8">
        <v>973</v>
      </c>
      <c r="AB71" s="8">
        <v>2403</v>
      </c>
      <c r="AC71" s="8">
        <v>1647</v>
      </c>
      <c r="AD71" s="8">
        <v>521</v>
      </c>
      <c r="AE71" s="8">
        <v>290</v>
      </c>
      <c r="AF71" s="8">
        <v>1205</v>
      </c>
      <c r="AG71" s="8">
        <v>1668</v>
      </c>
      <c r="AH71" s="9">
        <v>7531</v>
      </c>
    </row>
    <row r="72" spans="1:34" x14ac:dyDescent="0.25">
      <c r="A72" s="7" t="s">
        <v>17</v>
      </c>
      <c r="B72" s="14" t="s">
        <v>64</v>
      </c>
      <c r="C72" s="7">
        <v>42</v>
      </c>
      <c r="D72" s="8">
        <v>40</v>
      </c>
      <c r="E72" s="42" t="s">
        <v>58</v>
      </c>
      <c r="F72" s="9">
        <v>-0.01</v>
      </c>
      <c r="G72" s="7">
        <v>3261</v>
      </c>
      <c r="H72" s="8">
        <v>7048</v>
      </c>
      <c r="I72" s="8">
        <v>700</v>
      </c>
      <c r="J72" s="8">
        <v>1966</v>
      </c>
      <c r="K72" s="8">
        <v>1515</v>
      </c>
      <c r="L72" s="8">
        <v>2113</v>
      </c>
      <c r="M72" s="8">
        <v>940</v>
      </c>
      <c r="N72" s="8">
        <v>2456</v>
      </c>
      <c r="O72" s="8">
        <v>1950</v>
      </c>
      <c r="P72" s="8">
        <v>750</v>
      </c>
      <c r="Q72" s="8">
        <v>466</v>
      </c>
      <c r="R72" s="8">
        <v>1309</v>
      </c>
      <c r="S72" s="8">
        <v>1933</v>
      </c>
      <c r="T72" s="9">
        <v>8737</v>
      </c>
      <c r="U72" s="7">
        <v>3171</v>
      </c>
      <c r="V72" s="8">
        <v>6871</v>
      </c>
      <c r="W72" s="8">
        <v>609</v>
      </c>
      <c r="X72" s="8">
        <v>1664</v>
      </c>
      <c r="Y72" s="8">
        <v>1814</v>
      </c>
      <c r="Z72" s="8">
        <v>2419</v>
      </c>
      <c r="AA72" s="8">
        <v>1074</v>
      </c>
      <c r="AB72" s="8">
        <v>2733</v>
      </c>
      <c r="AC72" s="8">
        <v>2023</v>
      </c>
      <c r="AD72" s="8">
        <v>680</v>
      </c>
      <c r="AE72" s="8">
        <v>399</v>
      </c>
      <c r="AF72" s="8">
        <v>1525</v>
      </c>
      <c r="AG72" s="8">
        <v>1832</v>
      </c>
      <c r="AH72" s="9">
        <v>8765</v>
      </c>
    </row>
    <row r="73" spans="1:34" x14ac:dyDescent="0.25">
      <c r="A73" s="7" t="s">
        <v>65</v>
      </c>
      <c r="B73" s="14" t="s">
        <v>64</v>
      </c>
      <c r="C73" s="7">
        <v>52</v>
      </c>
      <c r="D73" s="8">
        <v>30</v>
      </c>
      <c r="E73" s="42" t="s">
        <v>58</v>
      </c>
      <c r="F73" s="9">
        <v>5.04</v>
      </c>
      <c r="G73" s="7">
        <v>2906</v>
      </c>
      <c r="H73" s="8">
        <v>6528</v>
      </c>
      <c r="I73" s="8">
        <v>705</v>
      </c>
      <c r="J73" s="8">
        <v>1893</v>
      </c>
      <c r="K73" s="8">
        <v>1436</v>
      </c>
      <c r="L73" s="8">
        <v>1906</v>
      </c>
      <c r="M73" s="8">
        <v>880</v>
      </c>
      <c r="N73" s="8">
        <v>2673</v>
      </c>
      <c r="O73" s="8">
        <v>1704</v>
      </c>
      <c r="P73" s="8">
        <v>583</v>
      </c>
      <c r="Q73" s="8">
        <v>337</v>
      </c>
      <c r="R73" s="8">
        <v>1162</v>
      </c>
      <c r="S73" s="8">
        <v>1710</v>
      </c>
      <c r="T73" s="9">
        <v>7953</v>
      </c>
      <c r="U73" s="7">
        <v>2793</v>
      </c>
      <c r="V73" s="8">
        <v>6503</v>
      </c>
      <c r="W73" s="8">
        <v>472</v>
      </c>
      <c r="X73" s="8">
        <v>1346</v>
      </c>
      <c r="Y73" s="8">
        <v>1497</v>
      </c>
      <c r="Z73" s="8">
        <v>2000</v>
      </c>
      <c r="AA73" s="8">
        <v>800</v>
      </c>
      <c r="AB73" s="8">
        <v>2548</v>
      </c>
      <c r="AC73" s="8">
        <v>1588</v>
      </c>
      <c r="AD73" s="8">
        <v>571</v>
      </c>
      <c r="AE73" s="8">
        <v>353</v>
      </c>
      <c r="AF73" s="8">
        <v>1163</v>
      </c>
      <c r="AG73" s="8">
        <v>1631</v>
      </c>
      <c r="AH73" s="9">
        <v>7555</v>
      </c>
    </row>
    <row r="74" spans="1:34" x14ac:dyDescent="0.25">
      <c r="A74" s="7" t="s">
        <v>19</v>
      </c>
      <c r="B74" s="14" t="s">
        <v>64</v>
      </c>
      <c r="C74" s="7">
        <v>35</v>
      </c>
      <c r="D74" s="8">
        <v>47</v>
      </c>
      <c r="E74" s="42" t="s">
        <v>59</v>
      </c>
      <c r="F74" s="9">
        <v>-2.62</v>
      </c>
      <c r="G74" s="7">
        <v>2872</v>
      </c>
      <c r="H74" s="8">
        <v>6561</v>
      </c>
      <c r="I74" s="8">
        <v>481</v>
      </c>
      <c r="J74" s="8">
        <v>1389</v>
      </c>
      <c r="K74" s="8">
        <v>1615</v>
      </c>
      <c r="L74" s="8">
        <v>2125</v>
      </c>
      <c r="M74" s="8">
        <v>990</v>
      </c>
      <c r="N74" s="8">
        <v>2441</v>
      </c>
      <c r="O74" s="8">
        <v>1680</v>
      </c>
      <c r="P74" s="8">
        <v>599</v>
      </c>
      <c r="Q74" s="8">
        <v>447</v>
      </c>
      <c r="R74" s="8">
        <v>1335</v>
      </c>
      <c r="S74" s="8">
        <v>1912</v>
      </c>
      <c r="T74" s="9">
        <v>7840</v>
      </c>
      <c r="U74" s="7">
        <v>2931</v>
      </c>
      <c r="V74" s="8">
        <v>6416</v>
      </c>
      <c r="W74" s="8">
        <v>437</v>
      </c>
      <c r="X74" s="8">
        <v>1175</v>
      </c>
      <c r="Y74" s="8">
        <v>1741</v>
      </c>
      <c r="Z74" s="8">
        <v>2311</v>
      </c>
      <c r="AA74" s="8">
        <v>915</v>
      </c>
      <c r="AB74" s="8">
        <v>2499</v>
      </c>
      <c r="AC74" s="8">
        <v>1642</v>
      </c>
      <c r="AD74" s="8">
        <v>644</v>
      </c>
      <c r="AE74" s="8">
        <v>410</v>
      </c>
      <c r="AF74" s="8">
        <v>1289</v>
      </c>
      <c r="AG74" s="8">
        <v>1942</v>
      </c>
      <c r="AH74" s="9">
        <v>8040</v>
      </c>
    </row>
    <row r="75" spans="1:34" x14ac:dyDescent="0.25">
      <c r="A75" s="7" t="s">
        <v>27</v>
      </c>
      <c r="B75" s="14" t="s">
        <v>64</v>
      </c>
      <c r="C75" s="7">
        <v>40</v>
      </c>
      <c r="D75" s="8">
        <v>42</v>
      </c>
      <c r="E75" s="42" t="s">
        <v>59</v>
      </c>
      <c r="F75" s="9">
        <v>-0.08</v>
      </c>
      <c r="G75" s="7">
        <v>2880</v>
      </c>
      <c r="H75" s="8">
        <v>6318</v>
      </c>
      <c r="I75" s="8">
        <v>314</v>
      </c>
      <c r="J75" s="8">
        <v>903</v>
      </c>
      <c r="K75" s="8">
        <v>1769</v>
      </c>
      <c r="L75" s="8">
        <v>2245</v>
      </c>
      <c r="M75" s="8">
        <v>888</v>
      </c>
      <c r="N75" s="8">
        <v>2484</v>
      </c>
      <c r="O75" s="8">
        <v>1762</v>
      </c>
      <c r="P75" s="8">
        <v>596</v>
      </c>
      <c r="Q75" s="8">
        <v>472</v>
      </c>
      <c r="R75" s="8">
        <v>1239</v>
      </c>
      <c r="S75" s="8">
        <v>1858</v>
      </c>
      <c r="T75" s="9">
        <v>7843</v>
      </c>
      <c r="U75" s="7">
        <v>2912</v>
      </c>
      <c r="V75" s="8">
        <v>6436</v>
      </c>
      <c r="W75" s="8">
        <v>455</v>
      </c>
      <c r="X75" s="8">
        <v>1341</v>
      </c>
      <c r="Y75" s="8">
        <v>1602</v>
      </c>
      <c r="Z75" s="8">
        <v>2142</v>
      </c>
      <c r="AA75" s="8">
        <v>843</v>
      </c>
      <c r="AB75" s="8">
        <v>2377</v>
      </c>
      <c r="AC75" s="8">
        <v>1722</v>
      </c>
      <c r="AD75" s="8">
        <v>582</v>
      </c>
      <c r="AE75" s="8">
        <v>321</v>
      </c>
      <c r="AF75" s="8">
        <v>1132</v>
      </c>
      <c r="AG75" s="8">
        <v>1829</v>
      </c>
      <c r="AH75" s="9">
        <v>7881</v>
      </c>
    </row>
    <row r="76" spans="1:34" x14ac:dyDescent="0.25">
      <c r="A76" s="7" t="s">
        <v>70</v>
      </c>
      <c r="B76" s="14" t="s">
        <v>64</v>
      </c>
      <c r="C76" s="7">
        <v>42</v>
      </c>
      <c r="D76" s="8">
        <v>40</v>
      </c>
      <c r="E76" s="42" t="s">
        <v>58</v>
      </c>
      <c r="F76" s="9">
        <v>0.24</v>
      </c>
      <c r="G76" s="7">
        <v>3103</v>
      </c>
      <c r="H76" s="8">
        <v>6664</v>
      </c>
      <c r="I76" s="8">
        <v>608</v>
      </c>
      <c r="J76" s="8">
        <v>1724</v>
      </c>
      <c r="K76" s="8">
        <v>1660</v>
      </c>
      <c r="L76" s="8">
        <v>2221</v>
      </c>
      <c r="M76" s="8">
        <v>886</v>
      </c>
      <c r="N76" s="8">
        <v>2495</v>
      </c>
      <c r="O76" s="8">
        <v>1850</v>
      </c>
      <c r="P76" s="8">
        <v>600</v>
      </c>
      <c r="Q76" s="8">
        <v>421</v>
      </c>
      <c r="R76" s="8">
        <v>1273</v>
      </c>
      <c r="S76" s="8">
        <v>1889</v>
      </c>
      <c r="T76" s="9">
        <v>8474</v>
      </c>
      <c r="U76" s="7">
        <v>3097</v>
      </c>
      <c r="V76" s="8">
        <v>6719</v>
      </c>
      <c r="W76" s="8">
        <v>523</v>
      </c>
      <c r="X76" s="8">
        <v>1462</v>
      </c>
      <c r="Y76" s="8">
        <v>1763</v>
      </c>
      <c r="Z76" s="8">
        <v>2320</v>
      </c>
      <c r="AA76" s="8">
        <v>955</v>
      </c>
      <c r="AB76" s="8">
        <v>2508</v>
      </c>
      <c r="AC76" s="8">
        <v>1798</v>
      </c>
      <c r="AD76" s="8">
        <v>649</v>
      </c>
      <c r="AE76" s="8">
        <v>409</v>
      </c>
      <c r="AF76" s="8">
        <v>1208</v>
      </c>
      <c r="AG76" s="8">
        <v>1916</v>
      </c>
      <c r="AH76" s="9">
        <v>8480</v>
      </c>
    </row>
    <row r="77" spans="1:34" x14ac:dyDescent="0.25">
      <c r="A77" s="7" t="s">
        <v>28</v>
      </c>
      <c r="B77" s="14" t="s">
        <v>64</v>
      </c>
      <c r="C77" s="7">
        <v>22</v>
      </c>
      <c r="D77" s="8">
        <v>60</v>
      </c>
      <c r="E77" s="42" t="s">
        <v>59</v>
      </c>
      <c r="F77" s="9">
        <v>-4.4400000000000004</v>
      </c>
      <c r="G77" s="7">
        <v>2998</v>
      </c>
      <c r="H77" s="8">
        <v>6448</v>
      </c>
      <c r="I77" s="8">
        <v>500</v>
      </c>
      <c r="J77" s="8">
        <v>1362</v>
      </c>
      <c r="K77" s="8">
        <v>1835</v>
      </c>
      <c r="L77" s="8">
        <v>2410</v>
      </c>
      <c r="M77" s="8">
        <v>866</v>
      </c>
      <c r="N77" s="8">
        <v>2375</v>
      </c>
      <c r="O77" s="8">
        <v>1680</v>
      </c>
      <c r="P77" s="8">
        <v>564</v>
      </c>
      <c r="Q77" s="8">
        <v>407</v>
      </c>
      <c r="R77" s="8">
        <v>1343</v>
      </c>
      <c r="S77" s="8">
        <v>1827</v>
      </c>
      <c r="T77" s="9">
        <v>8331</v>
      </c>
      <c r="U77" s="7">
        <v>3287</v>
      </c>
      <c r="V77" s="8">
        <v>6761</v>
      </c>
      <c r="W77" s="8">
        <v>576</v>
      </c>
      <c r="X77" s="8">
        <v>1480</v>
      </c>
      <c r="Y77" s="8">
        <v>1603</v>
      </c>
      <c r="Z77" s="8">
        <v>2113</v>
      </c>
      <c r="AA77" s="8">
        <v>965</v>
      </c>
      <c r="AB77" s="8">
        <v>2483</v>
      </c>
      <c r="AC77" s="8">
        <v>2062</v>
      </c>
      <c r="AD77" s="8">
        <v>681</v>
      </c>
      <c r="AE77" s="8">
        <v>450</v>
      </c>
      <c r="AF77" s="8">
        <v>1253</v>
      </c>
      <c r="AG77" s="8">
        <v>1992</v>
      </c>
      <c r="AH77" s="9">
        <v>8753</v>
      </c>
    </row>
    <row r="78" spans="1:34" x14ac:dyDescent="0.25">
      <c r="A78" s="7" t="s">
        <v>54</v>
      </c>
      <c r="B78" s="14" t="s">
        <v>64</v>
      </c>
      <c r="C78" s="7">
        <v>44</v>
      </c>
      <c r="D78" s="8">
        <v>38</v>
      </c>
      <c r="E78" s="42" t="s">
        <v>58</v>
      </c>
      <c r="F78" s="9">
        <v>-1.21</v>
      </c>
      <c r="G78" s="7">
        <v>2919</v>
      </c>
      <c r="H78" s="8">
        <v>6288</v>
      </c>
      <c r="I78" s="8">
        <v>528</v>
      </c>
      <c r="J78" s="8">
        <v>1539</v>
      </c>
      <c r="K78" s="8">
        <v>1393</v>
      </c>
      <c r="L78" s="8">
        <v>2019</v>
      </c>
      <c r="M78" s="8">
        <v>817</v>
      </c>
      <c r="N78" s="8">
        <v>2526</v>
      </c>
      <c r="O78" s="8">
        <v>1681</v>
      </c>
      <c r="P78" s="8">
        <v>566</v>
      </c>
      <c r="Q78" s="8">
        <v>442</v>
      </c>
      <c r="R78" s="8">
        <v>1201</v>
      </c>
      <c r="S78" s="8">
        <v>1749</v>
      </c>
      <c r="T78" s="9">
        <v>7759</v>
      </c>
      <c r="U78" s="7">
        <v>2895</v>
      </c>
      <c r="V78" s="8">
        <v>6517</v>
      </c>
      <c r="W78" s="8">
        <v>531</v>
      </c>
      <c r="X78" s="8">
        <v>1495</v>
      </c>
      <c r="Y78" s="8">
        <v>1513</v>
      </c>
      <c r="Z78" s="8">
        <v>2039</v>
      </c>
      <c r="AA78" s="8">
        <v>921</v>
      </c>
      <c r="AB78" s="8">
        <v>2467</v>
      </c>
      <c r="AC78" s="8">
        <v>1656</v>
      </c>
      <c r="AD78" s="8">
        <v>562</v>
      </c>
      <c r="AE78" s="8">
        <v>314</v>
      </c>
      <c r="AF78" s="8">
        <v>1185</v>
      </c>
      <c r="AG78" s="8">
        <v>1790</v>
      </c>
      <c r="AH78" s="9">
        <v>7834</v>
      </c>
    </row>
    <row r="79" spans="1:34" x14ac:dyDescent="0.25">
      <c r="A79" s="7" t="s">
        <v>21</v>
      </c>
      <c r="B79" s="14" t="s">
        <v>64</v>
      </c>
      <c r="C79" s="7">
        <v>28</v>
      </c>
      <c r="D79" s="8">
        <v>54</v>
      </c>
      <c r="E79" s="42" t="s">
        <v>59</v>
      </c>
      <c r="F79" s="9">
        <v>-4.4400000000000004</v>
      </c>
      <c r="G79" s="7">
        <v>3121</v>
      </c>
      <c r="H79" s="8">
        <v>6714</v>
      </c>
      <c r="I79" s="8">
        <v>524</v>
      </c>
      <c r="J79" s="8">
        <v>1472</v>
      </c>
      <c r="K79" s="8">
        <v>1406</v>
      </c>
      <c r="L79" s="8">
        <v>1919</v>
      </c>
      <c r="M79" s="8">
        <v>941</v>
      </c>
      <c r="N79" s="8">
        <v>2272</v>
      </c>
      <c r="O79" s="8">
        <v>1771</v>
      </c>
      <c r="P79" s="8">
        <v>587</v>
      </c>
      <c r="Q79" s="8">
        <v>224</v>
      </c>
      <c r="R79" s="8">
        <v>1240</v>
      </c>
      <c r="S79" s="8">
        <v>1821</v>
      </c>
      <c r="T79" s="9">
        <v>8172</v>
      </c>
      <c r="U79" s="7">
        <v>3201</v>
      </c>
      <c r="V79" s="8">
        <v>6673</v>
      </c>
      <c r="W79" s="8">
        <v>565</v>
      </c>
      <c r="X79" s="8">
        <v>1537</v>
      </c>
      <c r="Y79" s="8">
        <v>1564</v>
      </c>
      <c r="Z79" s="8">
        <v>2109</v>
      </c>
      <c r="AA79" s="8">
        <v>1062</v>
      </c>
      <c r="AB79" s="8">
        <v>2468</v>
      </c>
      <c r="AC79" s="8">
        <v>2077</v>
      </c>
      <c r="AD79" s="8">
        <v>615</v>
      </c>
      <c r="AE79" s="8">
        <v>433</v>
      </c>
      <c r="AF79" s="8">
        <v>1284</v>
      </c>
      <c r="AG79" s="8">
        <v>1718</v>
      </c>
      <c r="AH79" s="9">
        <v>8531</v>
      </c>
    </row>
    <row r="80" spans="1:34" x14ac:dyDescent="0.25">
      <c r="A80" s="7" t="s">
        <v>24</v>
      </c>
      <c r="B80" s="14" t="s">
        <v>64</v>
      </c>
      <c r="C80" s="7">
        <v>32</v>
      </c>
      <c r="D80" s="8">
        <v>50</v>
      </c>
      <c r="E80" s="42" t="s">
        <v>59</v>
      </c>
      <c r="F80" s="9">
        <v>-3.16</v>
      </c>
      <c r="G80" s="7">
        <v>2997</v>
      </c>
      <c r="H80" s="8">
        <v>6503</v>
      </c>
      <c r="I80" s="8">
        <v>384</v>
      </c>
      <c r="J80" s="8">
        <v>1089</v>
      </c>
      <c r="K80" s="8">
        <v>1499</v>
      </c>
      <c r="L80" s="8">
        <v>1892</v>
      </c>
      <c r="M80" s="8">
        <v>819</v>
      </c>
      <c r="N80" s="8">
        <v>2474</v>
      </c>
      <c r="O80" s="8">
        <v>1848</v>
      </c>
      <c r="P80" s="8">
        <v>532</v>
      </c>
      <c r="Q80" s="8">
        <v>325</v>
      </c>
      <c r="R80" s="8">
        <v>1278</v>
      </c>
      <c r="S80" s="8">
        <v>1758</v>
      </c>
      <c r="T80" s="9">
        <v>7877</v>
      </c>
      <c r="U80" s="7">
        <v>3075</v>
      </c>
      <c r="V80" s="8">
        <v>6689</v>
      </c>
      <c r="W80" s="8">
        <v>518</v>
      </c>
      <c r="X80" s="8">
        <v>1487</v>
      </c>
      <c r="Y80" s="8">
        <v>1510</v>
      </c>
      <c r="Z80" s="8">
        <v>1987</v>
      </c>
      <c r="AA80" s="8">
        <v>957</v>
      </c>
      <c r="AB80" s="8">
        <v>2438</v>
      </c>
      <c r="AC80" s="8">
        <v>1782</v>
      </c>
      <c r="AD80" s="8">
        <v>583</v>
      </c>
      <c r="AE80" s="8">
        <v>360</v>
      </c>
      <c r="AF80" s="8">
        <v>1163</v>
      </c>
      <c r="AG80" s="8">
        <v>1679</v>
      </c>
      <c r="AH80" s="9">
        <v>8178</v>
      </c>
    </row>
    <row r="81" spans="1:34" x14ac:dyDescent="0.25">
      <c r="A81" s="7" t="s">
        <v>23</v>
      </c>
      <c r="B81" s="14" t="s">
        <v>64</v>
      </c>
      <c r="C81" s="7">
        <v>41</v>
      </c>
      <c r="D81" s="8">
        <v>41</v>
      </c>
      <c r="E81" s="42" t="s">
        <v>58</v>
      </c>
      <c r="F81" s="9">
        <v>-1</v>
      </c>
      <c r="G81" s="7">
        <v>2913</v>
      </c>
      <c r="H81" s="8">
        <v>6379</v>
      </c>
      <c r="I81" s="8">
        <v>609</v>
      </c>
      <c r="J81" s="8">
        <v>1676</v>
      </c>
      <c r="K81" s="8">
        <v>1566</v>
      </c>
      <c r="L81" s="8">
        <v>2153</v>
      </c>
      <c r="M81" s="8">
        <v>822</v>
      </c>
      <c r="N81" s="8">
        <v>2525</v>
      </c>
      <c r="O81" s="8">
        <v>1962</v>
      </c>
      <c r="P81" s="8">
        <v>499</v>
      </c>
      <c r="Q81" s="8">
        <v>273</v>
      </c>
      <c r="R81" s="8">
        <v>1212</v>
      </c>
      <c r="S81" s="8">
        <v>1869</v>
      </c>
      <c r="T81" s="9">
        <v>8001</v>
      </c>
      <c r="U81" s="7">
        <v>2911</v>
      </c>
      <c r="V81" s="8">
        <v>6476</v>
      </c>
      <c r="W81" s="8">
        <v>519</v>
      </c>
      <c r="X81" s="8">
        <v>1455</v>
      </c>
      <c r="Y81" s="8">
        <v>1723</v>
      </c>
      <c r="Z81" s="8">
        <v>2261</v>
      </c>
      <c r="AA81" s="8">
        <v>867</v>
      </c>
      <c r="AB81" s="8">
        <v>2526</v>
      </c>
      <c r="AC81" s="8">
        <v>1805</v>
      </c>
      <c r="AD81" s="8">
        <v>584</v>
      </c>
      <c r="AE81" s="8">
        <v>369</v>
      </c>
      <c r="AF81" s="8">
        <v>1188</v>
      </c>
      <c r="AG81" s="8">
        <v>1886</v>
      </c>
      <c r="AH81" s="9">
        <v>8064</v>
      </c>
    </row>
    <row r="82" spans="1:34" x14ac:dyDescent="0.25">
      <c r="A82" s="7" t="s">
        <v>62</v>
      </c>
      <c r="B82" s="14" t="s">
        <v>64</v>
      </c>
      <c r="C82" s="7">
        <v>39</v>
      </c>
      <c r="D82" s="8">
        <v>43</v>
      </c>
      <c r="E82" s="42" t="s">
        <v>59</v>
      </c>
      <c r="F82" s="9">
        <v>-1.2</v>
      </c>
      <c r="G82" s="7">
        <v>2971</v>
      </c>
      <c r="H82" s="8">
        <v>6674</v>
      </c>
      <c r="I82" s="8">
        <v>455</v>
      </c>
      <c r="J82" s="8">
        <v>1256</v>
      </c>
      <c r="K82" s="8">
        <v>1436</v>
      </c>
      <c r="L82" s="8">
        <v>1941</v>
      </c>
      <c r="M82" s="8">
        <v>1025</v>
      </c>
      <c r="N82" s="8">
        <v>2512</v>
      </c>
      <c r="O82" s="8">
        <v>1537</v>
      </c>
      <c r="P82" s="8">
        <v>522</v>
      </c>
      <c r="Q82" s="8">
        <v>347</v>
      </c>
      <c r="R82" s="8">
        <v>1187</v>
      </c>
      <c r="S82" s="8">
        <v>1620</v>
      </c>
      <c r="T82" s="9">
        <v>7833</v>
      </c>
      <c r="U82" s="7">
        <v>3004</v>
      </c>
      <c r="V82" s="8">
        <v>6579</v>
      </c>
      <c r="W82" s="8">
        <v>559</v>
      </c>
      <c r="X82" s="8">
        <v>1575</v>
      </c>
      <c r="Y82" s="8">
        <v>1395</v>
      </c>
      <c r="Z82" s="8">
        <v>1839</v>
      </c>
      <c r="AA82" s="8">
        <v>853</v>
      </c>
      <c r="AB82" s="8">
        <v>2493</v>
      </c>
      <c r="AC82" s="8">
        <v>1703</v>
      </c>
      <c r="AD82" s="8">
        <v>554</v>
      </c>
      <c r="AE82" s="8">
        <v>392</v>
      </c>
      <c r="AF82" s="8">
        <v>1119</v>
      </c>
      <c r="AG82" s="8">
        <v>1733</v>
      </c>
      <c r="AH82" s="9">
        <v>7962</v>
      </c>
    </row>
    <row r="83" spans="1:34" x14ac:dyDescent="0.25">
      <c r="A83" s="7" t="s">
        <v>18</v>
      </c>
      <c r="B83" s="14" t="s">
        <v>64</v>
      </c>
      <c r="C83" s="7">
        <v>33</v>
      </c>
      <c r="D83" s="8">
        <v>49</v>
      </c>
      <c r="E83" s="42" t="s">
        <v>59</v>
      </c>
      <c r="F83" s="9">
        <v>-3.06</v>
      </c>
      <c r="G83" s="7">
        <v>2903</v>
      </c>
      <c r="H83" s="8">
        <v>6356</v>
      </c>
      <c r="I83" s="8">
        <v>474</v>
      </c>
      <c r="J83" s="8">
        <v>1370</v>
      </c>
      <c r="K83" s="8">
        <v>1714</v>
      </c>
      <c r="L83" s="8">
        <v>2396</v>
      </c>
      <c r="M83" s="8">
        <v>1032</v>
      </c>
      <c r="N83" s="8">
        <v>2516</v>
      </c>
      <c r="O83" s="8">
        <v>1532</v>
      </c>
      <c r="P83" s="8">
        <v>543</v>
      </c>
      <c r="Q83" s="8">
        <v>260</v>
      </c>
      <c r="R83" s="8">
        <v>1405</v>
      </c>
      <c r="S83" s="8">
        <v>1932</v>
      </c>
      <c r="T83" s="9">
        <v>7994</v>
      </c>
      <c r="U83" s="7">
        <v>3021</v>
      </c>
      <c r="V83" s="8">
        <v>6566</v>
      </c>
      <c r="W83" s="8">
        <v>573</v>
      </c>
      <c r="X83" s="8">
        <v>1523</v>
      </c>
      <c r="Y83" s="8">
        <v>1613</v>
      </c>
      <c r="Z83" s="8">
        <v>2135</v>
      </c>
      <c r="AA83" s="8">
        <v>885</v>
      </c>
      <c r="AB83" s="8">
        <v>2297</v>
      </c>
      <c r="AC83" s="8">
        <v>1748</v>
      </c>
      <c r="AD83" s="8">
        <v>616</v>
      </c>
      <c r="AE83" s="8">
        <v>406</v>
      </c>
      <c r="AF83" s="8">
        <v>1122</v>
      </c>
      <c r="AG83" s="8">
        <v>1875</v>
      </c>
      <c r="AH83" s="9">
        <v>8228</v>
      </c>
    </row>
    <row r="84" spans="1:34" x14ac:dyDescent="0.25">
      <c r="A84" s="7" t="s">
        <v>66</v>
      </c>
      <c r="B84" s="14" t="s">
        <v>64</v>
      </c>
      <c r="C84" s="7">
        <v>40</v>
      </c>
      <c r="D84" s="8">
        <v>42</v>
      </c>
      <c r="E84" s="42" t="s">
        <v>58</v>
      </c>
      <c r="F84" s="9">
        <v>0.34</v>
      </c>
      <c r="G84" s="7">
        <v>2875</v>
      </c>
      <c r="H84" s="8">
        <v>6090</v>
      </c>
      <c r="I84" s="8">
        <v>342</v>
      </c>
      <c r="J84" s="8">
        <v>962</v>
      </c>
      <c r="K84" s="8">
        <v>1679</v>
      </c>
      <c r="L84" s="8">
        <v>2393</v>
      </c>
      <c r="M84" s="8">
        <v>920</v>
      </c>
      <c r="N84" s="8">
        <v>2418</v>
      </c>
      <c r="O84" s="8">
        <v>1525</v>
      </c>
      <c r="P84" s="8">
        <v>565</v>
      </c>
      <c r="Q84" s="8">
        <v>416</v>
      </c>
      <c r="R84" s="8">
        <v>1392</v>
      </c>
      <c r="S84" s="8">
        <v>1904</v>
      </c>
      <c r="T84" s="9">
        <v>7771</v>
      </c>
      <c r="U84" s="7">
        <v>2739</v>
      </c>
      <c r="V84" s="8">
        <v>6191</v>
      </c>
      <c r="W84" s="8">
        <v>461</v>
      </c>
      <c r="X84" s="8">
        <v>1306</v>
      </c>
      <c r="Y84" s="8">
        <v>1768</v>
      </c>
      <c r="Z84" s="8">
        <v>2327</v>
      </c>
      <c r="AA84" s="8">
        <v>865</v>
      </c>
      <c r="AB84" s="8">
        <v>2217</v>
      </c>
      <c r="AC84" s="8">
        <v>1609</v>
      </c>
      <c r="AD84" s="8">
        <v>678</v>
      </c>
      <c r="AE84" s="8">
        <v>376</v>
      </c>
      <c r="AF84" s="8">
        <v>1232</v>
      </c>
      <c r="AG84" s="8">
        <v>1921</v>
      </c>
      <c r="AH84" s="9">
        <v>7707</v>
      </c>
    </row>
    <row r="85" spans="1:34" x14ac:dyDescent="0.25">
      <c r="A85" s="7" t="s">
        <v>63</v>
      </c>
      <c r="B85" s="14" t="s">
        <v>64</v>
      </c>
      <c r="C85" s="7">
        <v>35</v>
      </c>
      <c r="D85" s="8">
        <v>47</v>
      </c>
      <c r="E85" s="42" t="s">
        <v>59</v>
      </c>
      <c r="F85" s="9">
        <v>-3.26</v>
      </c>
      <c r="G85" s="7">
        <v>2932</v>
      </c>
      <c r="H85" s="8">
        <v>6408</v>
      </c>
      <c r="I85" s="8">
        <v>284</v>
      </c>
      <c r="J85" s="8">
        <v>823</v>
      </c>
      <c r="K85" s="8">
        <v>1637</v>
      </c>
      <c r="L85" s="8">
        <v>2135</v>
      </c>
      <c r="M85" s="8">
        <v>899</v>
      </c>
      <c r="N85" s="8">
        <v>2353</v>
      </c>
      <c r="O85" s="8">
        <v>1669</v>
      </c>
      <c r="P85" s="8">
        <v>590</v>
      </c>
      <c r="Q85" s="8">
        <v>390</v>
      </c>
      <c r="R85" s="8">
        <v>1258</v>
      </c>
      <c r="S85" s="8">
        <v>1671</v>
      </c>
      <c r="T85" s="9">
        <v>7785</v>
      </c>
      <c r="U85" s="7">
        <v>3039</v>
      </c>
      <c r="V85" s="8">
        <v>6570</v>
      </c>
      <c r="W85" s="8">
        <v>503</v>
      </c>
      <c r="X85" s="8">
        <v>1424</v>
      </c>
      <c r="Y85" s="8">
        <v>1452</v>
      </c>
      <c r="Z85" s="8">
        <v>1926</v>
      </c>
      <c r="AA85" s="8">
        <v>969</v>
      </c>
      <c r="AB85" s="8">
        <v>2404</v>
      </c>
      <c r="AC85" s="8">
        <v>1825</v>
      </c>
      <c r="AD85" s="8">
        <v>606</v>
      </c>
      <c r="AE85" s="8">
        <v>320</v>
      </c>
      <c r="AF85" s="8">
        <v>1280</v>
      </c>
      <c r="AG85" s="8">
        <v>1801</v>
      </c>
      <c r="AH85" s="9">
        <v>8033</v>
      </c>
    </row>
    <row r="86" spans="1:34" x14ac:dyDescent="0.25">
      <c r="A86" s="7" t="s">
        <v>16</v>
      </c>
      <c r="B86" s="14" t="s">
        <v>64</v>
      </c>
      <c r="C86" s="7">
        <v>61</v>
      </c>
      <c r="D86" s="8">
        <v>21</v>
      </c>
      <c r="E86" s="42" t="s">
        <v>58</v>
      </c>
      <c r="F86" s="9">
        <v>7.27</v>
      </c>
      <c r="G86" s="7">
        <v>3388</v>
      </c>
      <c r="H86" s="8">
        <v>6855</v>
      </c>
      <c r="I86" s="8">
        <v>785</v>
      </c>
      <c r="J86" s="8">
        <v>1965</v>
      </c>
      <c r="K86" s="8">
        <v>1476</v>
      </c>
      <c r="L86" s="8">
        <v>1827</v>
      </c>
      <c r="M86" s="8">
        <v>737</v>
      </c>
      <c r="N86" s="8">
        <v>2583</v>
      </c>
      <c r="O86" s="8">
        <v>2122</v>
      </c>
      <c r="P86" s="8">
        <v>553</v>
      </c>
      <c r="Q86" s="8">
        <v>394</v>
      </c>
      <c r="R86" s="8">
        <v>1189</v>
      </c>
      <c r="S86" s="8">
        <v>1659</v>
      </c>
      <c r="T86" s="9">
        <v>9037</v>
      </c>
      <c r="U86" s="7">
        <v>3238</v>
      </c>
      <c r="V86" s="8">
        <v>7087</v>
      </c>
      <c r="W86" s="8">
        <v>504</v>
      </c>
      <c r="X86" s="8">
        <v>1387</v>
      </c>
      <c r="Y86" s="8">
        <v>1458</v>
      </c>
      <c r="Z86" s="8">
        <v>1901</v>
      </c>
      <c r="AA86" s="8">
        <v>1008</v>
      </c>
      <c r="AB86" s="8">
        <v>2504</v>
      </c>
      <c r="AC86" s="8">
        <v>1548</v>
      </c>
      <c r="AD86" s="8">
        <v>566</v>
      </c>
      <c r="AE86" s="8">
        <v>304</v>
      </c>
      <c r="AF86" s="8">
        <v>1242</v>
      </c>
      <c r="AG86" s="8">
        <v>1759</v>
      </c>
      <c r="AH86" s="9">
        <v>8438</v>
      </c>
    </row>
    <row r="87" spans="1:34" x14ac:dyDescent="0.25">
      <c r="A87" s="7" t="s">
        <v>55</v>
      </c>
      <c r="B87" s="14" t="s">
        <v>64</v>
      </c>
      <c r="C87" s="7">
        <v>32</v>
      </c>
      <c r="D87" s="8">
        <v>50</v>
      </c>
      <c r="E87" s="42" t="s">
        <v>59</v>
      </c>
      <c r="F87" s="9">
        <v>-3.78</v>
      </c>
      <c r="G87" s="7">
        <v>2874</v>
      </c>
      <c r="H87" s="8">
        <v>6392</v>
      </c>
      <c r="I87" s="8">
        <v>426</v>
      </c>
      <c r="J87" s="8">
        <v>1232</v>
      </c>
      <c r="K87" s="8">
        <v>1543</v>
      </c>
      <c r="L87" s="8">
        <v>2006</v>
      </c>
      <c r="M87" s="8">
        <v>923</v>
      </c>
      <c r="N87" s="8">
        <v>2299</v>
      </c>
      <c r="O87" s="8">
        <v>1513</v>
      </c>
      <c r="P87" s="8">
        <v>555</v>
      </c>
      <c r="Q87" s="8">
        <v>380</v>
      </c>
      <c r="R87" s="8">
        <v>1236</v>
      </c>
      <c r="S87" s="8">
        <v>1931</v>
      </c>
      <c r="T87" s="9">
        <v>7717</v>
      </c>
      <c r="U87" s="7">
        <v>2962</v>
      </c>
      <c r="V87" s="8">
        <v>6292</v>
      </c>
      <c r="W87" s="8">
        <v>467</v>
      </c>
      <c r="X87" s="8">
        <v>1293</v>
      </c>
      <c r="Y87" s="8">
        <v>1678</v>
      </c>
      <c r="Z87" s="8">
        <v>2157</v>
      </c>
      <c r="AA87" s="8">
        <v>850</v>
      </c>
      <c r="AB87" s="8">
        <v>2347</v>
      </c>
      <c r="AC87" s="8">
        <v>1703</v>
      </c>
      <c r="AD87" s="8">
        <v>539</v>
      </c>
      <c r="AE87" s="8">
        <v>380</v>
      </c>
      <c r="AF87" s="8">
        <v>1127</v>
      </c>
      <c r="AG87" s="8">
        <v>1750</v>
      </c>
      <c r="AH87" s="9">
        <v>8069</v>
      </c>
    </row>
    <row r="88" spans="1:34" x14ac:dyDescent="0.25">
      <c r="A88" s="7" t="s">
        <v>20</v>
      </c>
      <c r="B88" s="14" t="s">
        <v>64</v>
      </c>
      <c r="C88" s="7">
        <v>33</v>
      </c>
      <c r="D88" s="8">
        <v>49</v>
      </c>
      <c r="E88" s="42" t="s">
        <v>59</v>
      </c>
      <c r="F88" s="9">
        <v>-1.35</v>
      </c>
      <c r="G88" s="7">
        <v>2941</v>
      </c>
      <c r="H88" s="8">
        <v>6532</v>
      </c>
      <c r="I88" s="8">
        <v>530</v>
      </c>
      <c r="J88" s="8">
        <v>1513</v>
      </c>
      <c r="K88" s="8">
        <v>1891</v>
      </c>
      <c r="L88" s="8">
        <v>2473</v>
      </c>
      <c r="M88" s="8">
        <v>797</v>
      </c>
      <c r="N88" s="8">
        <v>2396</v>
      </c>
      <c r="O88" s="8">
        <v>1665</v>
      </c>
      <c r="P88" s="8">
        <v>671</v>
      </c>
      <c r="Q88" s="8">
        <v>265</v>
      </c>
      <c r="R88" s="8">
        <v>1194</v>
      </c>
      <c r="S88" s="8">
        <v>1792</v>
      </c>
      <c r="T88" s="9">
        <v>8303</v>
      </c>
      <c r="U88" s="7">
        <v>3147</v>
      </c>
      <c r="V88" s="8">
        <v>6671</v>
      </c>
      <c r="W88" s="8">
        <v>557</v>
      </c>
      <c r="X88" s="8">
        <v>1524</v>
      </c>
      <c r="Y88" s="8">
        <v>1600</v>
      </c>
      <c r="Z88" s="8">
        <v>2115</v>
      </c>
      <c r="AA88" s="8">
        <v>907</v>
      </c>
      <c r="AB88" s="8">
        <v>2648</v>
      </c>
      <c r="AC88" s="8">
        <v>1840</v>
      </c>
      <c r="AD88" s="8">
        <v>572</v>
      </c>
      <c r="AE88" s="8">
        <v>405</v>
      </c>
      <c r="AF88" s="8">
        <v>1335</v>
      </c>
      <c r="AG88" s="8">
        <v>1990</v>
      </c>
      <c r="AH88" s="9">
        <v>8451</v>
      </c>
    </row>
    <row r="89" spans="1:34" x14ac:dyDescent="0.25">
      <c r="A89" s="7" t="s">
        <v>76</v>
      </c>
      <c r="B89" s="14" t="s">
        <v>64</v>
      </c>
      <c r="C89" s="7">
        <v>58</v>
      </c>
      <c r="D89" s="8">
        <v>24</v>
      </c>
      <c r="E89" s="42" t="s">
        <v>58</v>
      </c>
      <c r="F89" s="9">
        <v>8.35</v>
      </c>
      <c r="G89" s="7">
        <v>2999</v>
      </c>
      <c r="H89" s="8">
        <v>6328</v>
      </c>
      <c r="I89" s="8">
        <v>595</v>
      </c>
      <c r="J89" s="8">
        <v>1561</v>
      </c>
      <c r="K89" s="8">
        <v>1486</v>
      </c>
      <c r="L89" s="8">
        <v>1980</v>
      </c>
      <c r="M89" s="8">
        <v>761</v>
      </c>
      <c r="N89" s="8">
        <v>2577</v>
      </c>
      <c r="O89" s="8">
        <v>1814</v>
      </c>
      <c r="P89" s="8">
        <v>587</v>
      </c>
      <c r="Q89" s="8">
        <v>417</v>
      </c>
      <c r="R89" s="8">
        <v>1137</v>
      </c>
      <c r="S89" s="8">
        <v>1588</v>
      </c>
      <c r="T89" s="9">
        <v>8079</v>
      </c>
      <c r="U89" s="7">
        <v>2860</v>
      </c>
      <c r="V89" s="8">
        <v>6463</v>
      </c>
      <c r="W89" s="8">
        <v>368</v>
      </c>
      <c r="X89" s="8">
        <v>1101</v>
      </c>
      <c r="Y89" s="8">
        <v>1300</v>
      </c>
      <c r="Z89" s="8">
        <v>1756</v>
      </c>
      <c r="AA89" s="8">
        <v>829</v>
      </c>
      <c r="AB89" s="8">
        <v>2379</v>
      </c>
      <c r="AC89" s="8">
        <v>1416</v>
      </c>
      <c r="AD89" s="8">
        <v>580</v>
      </c>
      <c r="AE89" s="8">
        <v>337</v>
      </c>
      <c r="AF89" s="8">
        <v>1176</v>
      </c>
      <c r="AG89" s="8">
        <v>1739</v>
      </c>
      <c r="AH89" s="9">
        <v>7388</v>
      </c>
    </row>
    <row r="90" spans="1:34" x14ac:dyDescent="0.25">
      <c r="A90" s="7" t="s">
        <v>56</v>
      </c>
      <c r="B90" s="14" t="s">
        <v>64</v>
      </c>
      <c r="C90" s="7">
        <v>31</v>
      </c>
      <c r="D90" s="8">
        <v>51</v>
      </c>
      <c r="E90" s="42" t="s">
        <v>59</v>
      </c>
      <c r="F90" s="9">
        <v>-2.4500000000000002</v>
      </c>
      <c r="G90" s="7">
        <v>3047</v>
      </c>
      <c r="H90" s="8">
        <v>6628</v>
      </c>
      <c r="I90" s="8">
        <v>525</v>
      </c>
      <c r="J90" s="8">
        <v>1451</v>
      </c>
      <c r="K90" s="8">
        <v>1511</v>
      </c>
      <c r="L90" s="8">
        <v>1911</v>
      </c>
      <c r="M90" s="8">
        <v>928</v>
      </c>
      <c r="N90" s="8">
        <v>2322</v>
      </c>
      <c r="O90" s="8">
        <v>1695</v>
      </c>
      <c r="P90" s="8">
        <v>631</v>
      </c>
      <c r="Q90" s="8">
        <v>301</v>
      </c>
      <c r="R90" s="8">
        <v>1268</v>
      </c>
      <c r="S90" s="8">
        <v>1801</v>
      </c>
      <c r="T90" s="9">
        <v>8130</v>
      </c>
      <c r="U90" s="7">
        <v>3126</v>
      </c>
      <c r="V90" s="8">
        <v>6568</v>
      </c>
      <c r="W90" s="8">
        <v>519</v>
      </c>
      <c r="X90" s="8">
        <v>1437</v>
      </c>
      <c r="Y90" s="8">
        <v>1596</v>
      </c>
      <c r="Z90" s="8">
        <v>2124</v>
      </c>
      <c r="AA90" s="8">
        <v>954</v>
      </c>
      <c r="AB90" s="8">
        <v>2408</v>
      </c>
      <c r="AC90" s="8">
        <v>1870</v>
      </c>
      <c r="AD90" s="8">
        <v>590</v>
      </c>
      <c r="AE90" s="8">
        <v>341</v>
      </c>
      <c r="AF90" s="8">
        <v>1233</v>
      </c>
      <c r="AG90" s="8">
        <v>1635</v>
      </c>
      <c r="AH90" s="9">
        <v>8367</v>
      </c>
    </row>
    <row r="91" spans="1:34" x14ac:dyDescent="0.25">
      <c r="A91" s="7" t="s">
        <v>22</v>
      </c>
      <c r="B91" s="14" t="s">
        <v>64</v>
      </c>
      <c r="C91" s="7">
        <v>47</v>
      </c>
      <c r="D91" s="8">
        <v>35</v>
      </c>
      <c r="E91" s="42" t="s">
        <v>58</v>
      </c>
      <c r="F91" s="9">
        <v>0.61</v>
      </c>
      <c r="G91" s="7">
        <v>3032</v>
      </c>
      <c r="H91" s="8">
        <v>6547</v>
      </c>
      <c r="I91" s="8">
        <v>531</v>
      </c>
      <c r="J91" s="8">
        <v>1464</v>
      </c>
      <c r="K91" s="8">
        <v>1562</v>
      </c>
      <c r="L91" s="8">
        <v>1982</v>
      </c>
      <c r="M91" s="8">
        <v>755</v>
      </c>
      <c r="N91" s="8">
        <v>2480</v>
      </c>
      <c r="O91" s="8">
        <v>1822</v>
      </c>
      <c r="P91" s="8">
        <v>581</v>
      </c>
      <c r="Q91" s="8">
        <v>321</v>
      </c>
      <c r="R91" s="8">
        <v>1104</v>
      </c>
      <c r="S91" s="8">
        <v>1672</v>
      </c>
      <c r="T91" s="9">
        <v>8157</v>
      </c>
      <c r="U91" s="7">
        <v>3051</v>
      </c>
      <c r="V91" s="8">
        <v>6593</v>
      </c>
      <c r="W91" s="8">
        <v>533</v>
      </c>
      <c r="X91" s="8">
        <v>1491</v>
      </c>
      <c r="Y91" s="8">
        <v>1441</v>
      </c>
      <c r="Z91" s="8">
        <v>1911</v>
      </c>
      <c r="AA91" s="8">
        <v>848</v>
      </c>
      <c r="AB91" s="8">
        <v>2641</v>
      </c>
      <c r="AC91" s="8">
        <v>1742</v>
      </c>
      <c r="AD91" s="8">
        <v>489</v>
      </c>
      <c r="AE91" s="8">
        <v>317</v>
      </c>
      <c r="AF91" s="8">
        <v>1241</v>
      </c>
      <c r="AG91" s="8">
        <v>1786</v>
      </c>
      <c r="AH91" s="9">
        <v>8076</v>
      </c>
    </row>
    <row r="92" spans="1:34" x14ac:dyDescent="0.25">
      <c r="A92" s="7" t="s">
        <v>67</v>
      </c>
      <c r="B92" s="14" t="s">
        <v>64</v>
      </c>
      <c r="C92" s="7">
        <v>51</v>
      </c>
      <c r="D92" s="8">
        <v>31</v>
      </c>
      <c r="E92" s="42" t="s">
        <v>58</v>
      </c>
      <c r="F92" s="9">
        <v>3.06</v>
      </c>
      <c r="G92" s="7">
        <v>3069</v>
      </c>
      <c r="H92" s="8">
        <v>6471</v>
      </c>
      <c r="I92" s="8">
        <v>354</v>
      </c>
      <c r="J92" s="8">
        <v>1056</v>
      </c>
      <c r="K92" s="8">
        <v>1830</v>
      </c>
      <c r="L92" s="8">
        <v>2462</v>
      </c>
      <c r="M92" s="8">
        <v>1030</v>
      </c>
      <c r="N92" s="8">
        <v>2456</v>
      </c>
      <c r="O92" s="8">
        <v>2024</v>
      </c>
      <c r="P92" s="8">
        <v>577</v>
      </c>
      <c r="Q92" s="8">
        <v>339</v>
      </c>
      <c r="R92" s="8">
        <v>1277</v>
      </c>
      <c r="S92" s="8">
        <v>2067</v>
      </c>
      <c r="T92" s="9">
        <v>8322</v>
      </c>
      <c r="U92" s="7">
        <v>2819</v>
      </c>
      <c r="V92" s="8">
        <v>6191</v>
      </c>
      <c r="W92" s="8">
        <v>506</v>
      </c>
      <c r="X92" s="8">
        <v>1424</v>
      </c>
      <c r="Y92" s="8">
        <v>1943</v>
      </c>
      <c r="Z92" s="8">
        <v>2534</v>
      </c>
      <c r="AA92" s="8">
        <v>813</v>
      </c>
      <c r="AB92" s="8">
        <v>2223</v>
      </c>
      <c r="AC92" s="8">
        <v>1552</v>
      </c>
      <c r="AD92" s="8">
        <v>623</v>
      </c>
      <c r="AE92" s="8">
        <v>438</v>
      </c>
      <c r="AF92" s="8">
        <v>1230</v>
      </c>
      <c r="AG92" s="8">
        <v>2010</v>
      </c>
      <c r="AH92" s="9">
        <v>8087</v>
      </c>
    </row>
    <row r="93" spans="1:34" ht="15.75" thickBot="1" x14ac:dyDescent="0.3">
      <c r="A93" s="10" t="s">
        <v>26</v>
      </c>
      <c r="B93" s="15" t="s">
        <v>64</v>
      </c>
      <c r="C93" s="10">
        <v>41</v>
      </c>
      <c r="D93" s="11">
        <v>41</v>
      </c>
      <c r="E93" s="43" t="s">
        <v>58</v>
      </c>
      <c r="F93" s="12">
        <v>-0.8</v>
      </c>
      <c r="G93" s="10">
        <v>3070</v>
      </c>
      <c r="H93" s="11">
        <v>6820</v>
      </c>
      <c r="I93" s="11">
        <v>561</v>
      </c>
      <c r="J93" s="11">
        <v>1614</v>
      </c>
      <c r="K93" s="11">
        <v>1855</v>
      </c>
      <c r="L93" s="11">
        <v>2425</v>
      </c>
      <c r="M93" s="11">
        <v>998</v>
      </c>
      <c r="N93" s="11">
        <v>2379</v>
      </c>
      <c r="O93" s="11">
        <v>1660</v>
      </c>
      <c r="P93" s="11">
        <v>635</v>
      </c>
      <c r="Q93" s="11">
        <v>375</v>
      </c>
      <c r="R93" s="11">
        <v>1133</v>
      </c>
      <c r="S93" s="11">
        <v>1823</v>
      </c>
      <c r="T93" s="12">
        <v>8556</v>
      </c>
      <c r="U93" s="10">
        <v>3166</v>
      </c>
      <c r="V93" s="11">
        <v>6700</v>
      </c>
      <c r="W93" s="11">
        <v>598</v>
      </c>
      <c r="X93" s="11">
        <v>1585</v>
      </c>
      <c r="Y93" s="11">
        <v>1668</v>
      </c>
      <c r="Z93" s="11">
        <v>2146</v>
      </c>
      <c r="AA93" s="11">
        <v>973</v>
      </c>
      <c r="AB93" s="11">
        <v>2551</v>
      </c>
      <c r="AC93" s="11">
        <v>1942</v>
      </c>
      <c r="AD93" s="11">
        <v>519</v>
      </c>
      <c r="AE93" s="11">
        <v>380</v>
      </c>
      <c r="AF93" s="11">
        <v>1291</v>
      </c>
      <c r="AG93" s="11">
        <v>1927</v>
      </c>
      <c r="AH93" s="12">
        <v>8598</v>
      </c>
    </row>
    <row r="94" spans="1:34" x14ac:dyDescent="0.25">
      <c r="A94" s="4" t="s">
        <v>60</v>
      </c>
      <c r="B94" s="13" t="s">
        <v>68</v>
      </c>
      <c r="C94" s="4">
        <v>26</v>
      </c>
      <c r="D94" s="5">
        <v>56</v>
      </c>
      <c r="E94" s="41" t="s">
        <v>59</v>
      </c>
      <c r="F94" s="6">
        <v>-4.6900000000000004</v>
      </c>
      <c r="G94" s="4">
        <v>2946</v>
      </c>
      <c r="H94" s="5">
        <v>6496</v>
      </c>
      <c r="I94" s="5">
        <v>424</v>
      </c>
      <c r="J94" s="5">
        <v>1154</v>
      </c>
      <c r="K94" s="5">
        <v>1656</v>
      </c>
      <c r="L94" s="5">
        <v>2207</v>
      </c>
      <c r="M94" s="5">
        <v>1069</v>
      </c>
      <c r="N94" s="5">
        <v>2232</v>
      </c>
      <c r="O94" s="5">
        <v>1625</v>
      </c>
      <c r="P94" s="5">
        <v>587</v>
      </c>
      <c r="Q94" s="5">
        <v>394</v>
      </c>
      <c r="R94" s="5">
        <v>1284</v>
      </c>
      <c r="S94" s="5">
        <v>2054</v>
      </c>
      <c r="T94" s="6">
        <v>7972</v>
      </c>
      <c r="U94" s="4">
        <v>3075</v>
      </c>
      <c r="V94" s="5">
        <v>6433</v>
      </c>
      <c r="W94" s="5">
        <v>444</v>
      </c>
      <c r="X94" s="5">
        <v>1205</v>
      </c>
      <c r="Y94" s="5">
        <v>1768</v>
      </c>
      <c r="Z94" s="5">
        <v>2372</v>
      </c>
      <c r="AA94" s="5">
        <v>981</v>
      </c>
      <c r="AB94" s="5">
        <v>2335</v>
      </c>
      <c r="AC94" s="5">
        <v>1689</v>
      </c>
      <c r="AD94" s="5">
        <v>597</v>
      </c>
      <c r="AE94" s="5">
        <v>422</v>
      </c>
      <c r="AF94" s="5">
        <v>1227</v>
      </c>
      <c r="AG94" s="5">
        <v>1855</v>
      </c>
      <c r="AH94" s="6">
        <v>8362</v>
      </c>
    </row>
    <row r="95" spans="1:34" x14ac:dyDescent="0.25">
      <c r="A95" s="7" t="s">
        <v>61</v>
      </c>
      <c r="B95" s="14" t="s">
        <v>68</v>
      </c>
      <c r="C95" s="7">
        <v>33</v>
      </c>
      <c r="D95" s="8">
        <v>49</v>
      </c>
      <c r="E95" s="42" t="s">
        <v>59</v>
      </c>
      <c r="F95" s="9">
        <v>-1.59</v>
      </c>
      <c r="G95" s="7">
        <v>2951</v>
      </c>
      <c r="H95" s="8">
        <v>6322</v>
      </c>
      <c r="I95" s="8">
        <v>467</v>
      </c>
      <c r="J95" s="8">
        <v>1290</v>
      </c>
      <c r="K95" s="8">
        <v>1664</v>
      </c>
      <c r="L95" s="8">
        <v>2204</v>
      </c>
      <c r="M95" s="8">
        <v>813</v>
      </c>
      <c r="N95" s="8">
        <v>2432</v>
      </c>
      <c r="O95" s="8">
        <v>1716</v>
      </c>
      <c r="P95" s="8">
        <v>578</v>
      </c>
      <c r="Q95" s="8">
        <v>422</v>
      </c>
      <c r="R95" s="8">
        <v>1359</v>
      </c>
      <c r="S95" s="8">
        <v>2033</v>
      </c>
      <c r="T95" s="9">
        <v>8033</v>
      </c>
      <c r="U95" s="7">
        <v>2944</v>
      </c>
      <c r="V95" s="8">
        <v>6462</v>
      </c>
      <c r="W95" s="8">
        <v>446</v>
      </c>
      <c r="X95" s="8">
        <v>1265</v>
      </c>
      <c r="Y95" s="8">
        <v>1825</v>
      </c>
      <c r="Z95" s="8">
        <v>2457</v>
      </c>
      <c r="AA95" s="8">
        <v>910</v>
      </c>
      <c r="AB95" s="8">
        <v>2369</v>
      </c>
      <c r="AC95" s="8">
        <v>1763</v>
      </c>
      <c r="AD95" s="8">
        <v>688</v>
      </c>
      <c r="AE95" s="8">
        <v>404</v>
      </c>
      <c r="AF95" s="8">
        <v>1210</v>
      </c>
      <c r="AG95" s="8">
        <v>1837</v>
      </c>
      <c r="AH95" s="9">
        <v>8159</v>
      </c>
    </row>
    <row r="96" spans="1:34" x14ac:dyDescent="0.25">
      <c r="A96" s="7" t="s">
        <v>29</v>
      </c>
      <c r="B96" s="14" t="s">
        <v>68</v>
      </c>
      <c r="C96" s="7">
        <v>26</v>
      </c>
      <c r="D96" s="8">
        <v>56</v>
      </c>
      <c r="E96" s="42" t="s">
        <v>59</v>
      </c>
      <c r="F96" s="9">
        <v>-3.9</v>
      </c>
      <c r="G96" s="7">
        <v>2961</v>
      </c>
      <c r="H96" s="8">
        <v>6843</v>
      </c>
      <c r="I96" s="8">
        <v>428</v>
      </c>
      <c r="J96" s="8">
        <v>1261</v>
      </c>
      <c r="K96" s="8">
        <v>1593</v>
      </c>
      <c r="L96" s="8">
        <v>2186</v>
      </c>
      <c r="M96" s="8">
        <v>990</v>
      </c>
      <c r="N96" s="8">
        <v>2270</v>
      </c>
      <c r="O96" s="8">
        <v>1717</v>
      </c>
      <c r="P96" s="8">
        <v>822</v>
      </c>
      <c r="Q96" s="8">
        <v>354</v>
      </c>
      <c r="R96" s="8">
        <v>1167</v>
      </c>
      <c r="S96" s="8">
        <v>1960</v>
      </c>
      <c r="T96" s="9">
        <v>7943</v>
      </c>
      <c r="U96" s="7">
        <v>3065</v>
      </c>
      <c r="V96" s="8">
        <v>6410</v>
      </c>
      <c r="W96" s="8">
        <v>458</v>
      </c>
      <c r="X96" s="8">
        <v>1285</v>
      </c>
      <c r="Y96" s="8">
        <v>1683</v>
      </c>
      <c r="Z96" s="8">
        <v>2283</v>
      </c>
      <c r="AA96" s="8">
        <v>940</v>
      </c>
      <c r="AB96" s="8">
        <v>2667</v>
      </c>
      <c r="AC96" s="8">
        <v>1881</v>
      </c>
      <c r="AD96" s="8">
        <v>577</v>
      </c>
      <c r="AE96" s="8">
        <v>441</v>
      </c>
      <c r="AF96" s="8">
        <v>1464</v>
      </c>
      <c r="AG96" s="8">
        <v>1929</v>
      </c>
      <c r="AH96" s="9">
        <v>8271</v>
      </c>
    </row>
    <row r="97" spans="1:34" x14ac:dyDescent="0.25">
      <c r="A97" s="7" t="s">
        <v>53</v>
      </c>
      <c r="B97" s="14" t="s">
        <v>68</v>
      </c>
      <c r="C97" s="7">
        <v>41</v>
      </c>
      <c r="D97" s="8">
        <v>41</v>
      </c>
      <c r="E97" s="42" t="s">
        <v>58</v>
      </c>
      <c r="F97" s="9">
        <v>0.51</v>
      </c>
      <c r="G97" s="7">
        <v>3004</v>
      </c>
      <c r="H97" s="8">
        <v>6737</v>
      </c>
      <c r="I97" s="8">
        <v>560</v>
      </c>
      <c r="J97" s="8">
        <v>1477</v>
      </c>
      <c r="K97" s="8">
        <v>1452</v>
      </c>
      <c r="L97" s="8">
        <v>1967</v>
      </c>
      <c r="M97" s="8">
        <v>906</v>
      </c>
      <c r="N97" s="8">
        <v>2602</v>
      </c>
      <c r="O97" s="8">
        <v>1804</v>
      </c>
      <c r="P97" s="8">
        <v>508</v>
      </c>
      <c r="Q97" s="8">
        <v>345</v>
      </c>
      <c r="R97" s="8">
        <v>1224</v>
      </c>
      <c r="S97" s="8">
        <v>2038</v>
      </c>
      <c r="T97" s="9">
        <v>8020</v>
      </c>
      <c r="U97" s="7">
        <v>2773</v>
      </c>
      <c r="V97" s="8">
        <v>6515</v>
      </c>
      <c r="W97" s="8">
        <v>501</v>
      </c>
      <c r="X97" s="8">
        <v>1428</v>
      </c>
      <c r="Y97" s="8">
        <v>1921</v>
      </c>
      <c r="Z97" s="8">
        <v>2472</v>
      </c>
      <c r="AA97" s="8">
        <v>881</v>
      </c>
      <c r="AB97" s="8">
        <v>2541</v>
      </c>
      <c r="AC97" s="8">
        <v>1652</v>
      </c>
      <c r="AD97" s="8">
        <v>611</v>
      </c>
      <c r="AE97" s="8">
        <v>420</v>
      </c>
      <c r="AF97" s="8">
        <v>1228</v>
      </c>
      <c r="AG97" s="8">
        <v>1883</v>
      </c>
      <c r="AH97" s="9">
        <v>7968</v>
      </c>
    </row>
    <row r="98" spans="1:34" x14ac:dyDescent="0.25">
      <c r="A98" s="7" t="s">
        <v>69</v>
      </c>
      <c r="B98" s="14" t="s">
        <v>68</v>
      </c>
      <c r="C98" s="7">
        <v>50</v>
      </c>
      <c r="D98" s="8">
        <v>32</v>
      </c>
      <c r="E98" s="42" t="s">
        <v>58</v>
      </c>
      <c r="F98" s="9">
        <v>2.17</v>
      </c>
      <c r="G98" s="7">
        <v>2908</v>
      </c>
      <c r="H98" s="8">
        <v>6412</v>
      </c>
      <c r="I98" s="8">
        <v>497</v>
      </c>
      <c r="J98" s="8">
        <v>1465</v>
      </c>
      <c r="K98" s="8">
        <v>1689</v>
      </c>
      <c r="L98" s="8">
        <v>2318</v>
      </c>
      <c r="M98" s="8">
        <v>959</v>
      </c>
      <c r="N98" s="8">
        <v>2511</v>
      </c>
      <c r="O98" s="8">
        <v>1560</v>
      </c>
      <c r="P98" s="8">
        <v>567</v>
      </c>
      <c r="Q98" s="8">
        <v>392</v>
      </c>
      <c r="R98" s="8">
        <v>1137</v>
      </c>
      <c r="S98" s="8">
        <v>1733</v>
      </c>
      <c r="T98" s="9">
        <v>8002</v>
      </c>
      <c r="U98" s="7">
        <v>2949</v>
      </c>
      <c r="V98" s="8">
        <v>6481</v>
      </c>
      <c r="W98" s="8">
        <v>459</v>
      </c>
      <c r="X98" s="8">
        <v>1291</v>
      </c>
      <c r="Y98" s="8">
        <v>1462</v>
      </c>
      <c r="Z98" s="8">
        <v>1970</v>
      </c>
      <c r="AA98" s="8">
        <v>807</v>
      </c>
      <c r="AB98" s="8">
        <v>2421</v>
      </c>
      <c r="AC98" s="8">
        <v>1666</v>
      </c>
      <c r="AD98" s="8">
        <v>540</v>
      </c>
      <c r="AE98" s="8">
        <v>357</v>
      </c>
      <c r="AF98" s="8">
        <v>1079</v>
      </c>
      <c r="AG98" s="8">
        <v>1842</v>
      </c>
      <c r="AH98" s="9">
        <v>7819</v>
      </c>
    </row>
    <row r="99" spans="1:34" x14ac:dyDescent="0.25">
      <c r="A99" s="7" t="s">
        <v>73</v>
      </c>
      <c r="B99" s="14" t="s">
        <v>68</v>
      </c>
      <c r="C99" s="7">
        <v>60</v>
      </c>
      <c r="D99" s="8">
        <v>22</v>
      </c>
      <c r="E99" s="42" t="s">
        <v>58</v>
      </c>
      <c r="F99" s="9">
        <v>5.96</v>
      </c>
      <c r="G99" s="7">
        <v>2948</v>
      </c>
      <c r="H99" s="8">
        <v>6375</v>
      </c>
      <c r="I99" s="8">
        <v>416</v>
      </c>
      <c r="J99" s="8">
        <v>1113</v>
      </c>
      <c r="K99" s="8">
        <v>1818</v>
      </c>
      <c r="L99" s="8">
        <v>2322</v>
      </c>
      <c r="M99" s="8">
        <v>1030</v>
      </c>
      <c r="N99" s="8">
        <v>2431</v>
      </c>
      <c r="O99" s="8">
        <v>1473</v>
      </c>
      <c r="P99" s="8">
        <v>593</v>
      </c>
      <c r="Q99" s="8">
        <v>488</v>
      </c>
      <c r="R99" s="8">
        <v>1112</v>
      </c>
      <c r="S99" s="8">
        <v>1834</v>
      </c>
      <c r="T99" s="9">
        <v>8130</v>
      </c>
      <c r="U99" s="7">
        <v>2801</v>
      </c>
      <c r="V99" s="8">
        <v>6319</v>
      </c>
      <c r="W99" s="8">
        <v>404</v>
      </c>
      <c r="X99" s="8">
        <v>1120</v>
      </c>
      <c r="Y99" s="8">
        <v>1626</v>
      </c>
      <c r="Z99" s="8">
        <v>2163</v>
      </c>
      <c r="AA99" s="8">
        <v>935</v>
      </c>
      <c r="AB99" s="8">
        <v>2209</v>
      </c>
      <c r="AC99" s="8">
        <v>1433</v>
      </c>
      <c r="AD99" s="8">
        <v>536</v>
      </c>
      <c r="AE99" s="8">
        <v>400</v>
      </c>
      <c r="AF99" s="8">
        <v>1151</v>
      </c>
      <c r="AG99" s="8">
        <v>1958</v>
      </c>
      <c r="AH99" s="9">
        <v>7632</v>
      </c>
    </row>
    <row r="100" spans="1:34" x14ac:dyDescent="0.25">
      <c r="A100" s="7" t="s">
        <v>74</v>
      </c>
      <c r="B100" s="14" t="s">
        <v>68</v>
      </c>
      <c r="C100" s="7">
        <v>44</v>
      </c>
      <c r="D100" s="8">
        <v>38</v>
      </c>
      <c r="E100" s="42" t="s">
        <v>58</v>
      </c>
      <c r="F100" s="9">
        <v>0.36</v>
      </c>
      <c r="G100" s="7">
        <v>3078</v>
      </c>
      <c r="H100" s="8">
        <v>6672</v>
      </c>
      <c r="I100" s="8">
        <v>350</v>
      </c>
      <c r="J100" s="8">
        <v>1076</v>
      </c>
      <c r="K100" s="8">
        <v>1721</v>
      </c>
      <c r="L100" s="8">
        <v>2312</v>
      </c>
      <c r="M100" s="8">
        <v>903</v>
      </c>
      <c r="N100" s="8">
        <v>2486</v>
      </c>
      <c r="O100" s="8">
        <v>1921</v>
      </c>
      <c r="P100" s="8">
        <v>698</v>
      </c>
      <c r="Q100" s="8">
        <v>463</v>
      </c>
      <c r="R100" s="8">
        <v>1216</v>
      </c>
      <c r="S100" s="8">
        <v>1863</v>
      </c>
      <c r="T100" s="9">
        <v>8227</v>
      </c>
      <c r="U100" s="7">
        <v>3070</v>
      </c>
      <c r="V100" s="8">
        <v>6764</v>
      </c>
      <c r="W100" s="8">
        <v>530</v>
      </c>
      <c r="X100" s="8">
        <v>1480</v>
      </c>
      <c r="Y100" s="8">
        <v>1538</v>
      </c>
      <c r="Z100" s="8">
        <v>2090</v>
      </c>
      <c r="AA100" s="8">
        <v>965</v>
      </c>
      <c r="AB100" s="8">
        <v>2469</v>
      </c>
      <c r="AC100" s="8">
        <v>1959</v>
      </c>
      <c r="AD100" s="8">
        <v>586</v>
      </c>
      <c r="AE100" s="8">
        <v>436</v>
      </c>
      <c r="AF100" s="8">
        <v>1323</v>
      </c>
      <c r="AG100" s="8">
        <v>1911</v>
      </c>
      <c r="AH100" s="9">
        <v>8208</v>
      </c>
    </row>
    <row r="101" spans="1:34" x14ac:dyDescent="0.25">
      <c r="A101" s="7" t="s">
        <v>75</v>
      </c>
      <c r="B101" s="14" t="s">
        <v>68</v>
      </c>
      <c r="C101" s="7">
        <v>64</v>
      </c>
      <c r="D101" s="8">
        <v>18</v>
      </c>
      <c r="E101" s="42" t="s">
        <v>58</v>
      </c>
      <c r="F101" s="9">
        <v>6.23</v>
      </c>
      <c r="G101" s="7">
        <v>2983</v>
      </c>
      <c r="H101" s="8">
        <v>6558</v>
      </c>
      <c r="I101" s="8">
        <v>557</v>
      </c>
      <c r="J101" s="8">
        <v>1451</v>
      </c>
      <c r="K101" s="8">
        <v>1418</v>
      </c>
      <c r="L101" s="8">
        <v>1950</v>
      </c>
      <c r="M101" s="8">
        <v>975</v>
      </c>
      <c r="N101" s="8">
        <v>2347</v>
      </c>
      <c r="O101" s="8">
        <v>1971</v>
      </c>
      <c r="P101" s="8">
        <v>580</v>
      </c>
      <c r="Q101" s="8">
        <v>490</v>
      </c>
      <c r="R101" s="8">
        <v>931</v>
      </c>
      <c r="S101" s="8">
        <v>1513</v>
      </c>
      <c r="T101" s="9">
        <v>7941</v>
      </c>
      <c r="U101" s="7">
        <v>2915</v>
      </c>
      <c r="V101" s="8">
        <v>6450</v>
      </c>
      <c r="W101" s="8">
        <v>329</v>
      </c>
      <c r="X101" s="8">
        <v>1012</v>
      </c>
      <c r="Y101" s="8">
        <v>1235</v>
      </c>
      <c r="Z101" s="8">
        <v>1677</v>
      </c>
      <c r="AA101" s="8">
        <v>951</v>
      </c>
      <c r="AB101" s="8">
        <v>2399</v>
      </c>
      <c r="AC101" s="8">
        <v>1541</v>
      </c>
      <c r="AD101" s="8">
        <v>481</v>
      </c>
      <c r="AE101" s="8">
        <v>285</v>
      </c>
      <c r="AF101" s="8">
        <v>1145</v>
      </c>
      <c r="AG101" s="8">
        <v>1726</v>
      </c>
      <c r="AH101" s="9">
        <v>7394</v>
      </c>
    </row>
    <row r="102" spans="1:34" x14ac:dyDescent="0.25">
      <c r="A102" s="7" t="s">
        <v>17</v>
      </c>
      <c r="B102" s="14" t="s">
        <v>68</v>
      </c>
      <c r="C102" s="7">
        <v>34</v>
      </c>
      <c r="D102" s="8">
        <v>48</v>
      </c>
      <c r="E102" s="42" t="s">
        <v>59</v>
      </c>
      <c r="F102" s="9">
        <v>-1.1100000000000001</v>
      </c>
      <c r="G102" s="7">
        <v>2939</v>
      </c>
      <c r="H102" s="8">
        <v>6785</v>
      </c>
      <c r="I102" s="8">
        <v>625</v>
      </c>
      <c r="J102" s="8">
        <v>1832</v>
      </c>
      <c r="K102" s="8">
        <v>1573</v>
      </c>
      <c r="L102" s="8">
        <v>2190</v>
      </c>
      <c r="M102" s="8">
        <v>980</v>
      </c>
      <c r="N102" s="8">
        <v>2485</v>
      </c>
      <c r="O102" s="8">
        <v>1694</v>
      </c>
      <c r="P102" s="8">
        <v>604</v>
      </c>
      <c r="Q102" s="8">
        <v>357</v>
      </c>
      <c r="R102" s="8">
        <v>1156</v>
      </c>
      <c r="S102" s="8">
        <v>1941</v>
      </c>
      <c r="T102" s="9">
        <v>8076</v>
      </c>
      <c r="U102" s="7">
        <v>3047</v>
      </c>
      <c r="V102" s="8">
        <v>6674</v>
      </c>
      <c r="W102" s="8">
        <v>469</v>
      </c>
      <c r="X102" s="8">
        <v>1335</v>
      </c>
      <c r="Y102" s="8">
        <v>1624</v>
      </c>
      <c r="Z102" s="8">
        <v>2187</v>
      </c>
      <c r="AA102" s="8">
        <v>985</v>
      </c>
      <c r="AB102" s="8">
        <v>2662</v>
      </c>
      <c r="AC102" s="8">
        <v>1828</v>
      </c>
      <c r="AD102" s="8">
        <v>576</v>
      </c>
      <c r="AE102" s="8">
        <v>409</v>
      </c>
      <c r="AF102" s="8">
        <v>1258</v>
      </c>
      <c r="AG102" s="8">
        <v>1919</v>
      </c>
      <c r="AH102" s="9">
        <v>8187</v>
      </c>
    </row>
    <row r="103" spans="1:34" x14ac:dyDescent="0.25">
      <c r="A103" s="7" t="s">
        <v>65</v>
      </c>
      <c r="B103" s="14" t="s">
        <v>68</v>
      </c>
      <c r="C103" s="7">
        <v>34</v>
      </c>
      <c r="D103" s="8">
        <v>48</v>
      </c>
      <c r="E103" s="42" t="s">
        <v>59</v>
      </c>
      <c r="F103" s="9">
        <v>-1.31</v>
      </c>
      <c r="G103" s="7">
        <v>2708</v>
      </c>
      <c r="H103" s="8">
        <v>6252</v>
      </c>
      <c r="I103" s="8">
        <v>469</v>
      </c>
      <c r="J103" s="8">
        <v>1414</v>
      </c>
      <c r="K103" s="8">
        <v>1502</v>
      </c>
      <c r="L103" s="8">
        <v>1980</v>
      </c>
      <c r="M103" s="8">
        <v>849</v>
      </c>
      <c r="N103" s="8">
        <v>2565</v>
      </c>
      <c r="O103" s="8">
        <v>1580</v>
      </c>
      <c r="P103" s="8">
        <v>588</v>
      </c>
      <c r="Q103" s="8">
        <v>320</v>
      </c>
      <c r="R103" s="8">
        <v>1193</v>
      </c>
      <c r="S103" s="8">
        <v>1863</v>
      </c>
      <c r="T103" s="9">
        <v>7387</v>
      </c>
      <c r="U103" s="7">
        <v>2708</v>
      </c>
      <c r="V103" s="8">
        <v>6310</v>
      </c>
      <c r="W103" s="8">
        <v>541</v>
      </c>
      <c r="X103" s="8">
        <v>1465</v>
      </c>
      <c r="Y103" s="8">
        <v>1560</v>
      </c>
      <c r="Z103" s="8">
        <v>2135</v>
      </c>
      <c r="AA103" s="8">
        <v>874</v>
      </c>
      <c r="AB103" s="8">
        <v>2477</v>
      </c>
      <c r="AC103" s="8">
        <v>1647</v>
      </c>
      <c r="AD103" s="8">
        <v>582</v>
      </c>
      <c r="AE103" s="8">
        <v>373</v>
      </c>
      <c r="AF103" s="8">
        <v>1094</v>
      </c>
      <c r="AG103" s="8">
        <v>1716</v>
      </c>
      <c r="AH103" s="9">
        <v>7517</v>
      </c>
    </row>
    <row r="104" spans="1:34" x14ac:dyDescent="0.25">
      <c r="A104" s="7" t="s">
        <v>19</v>
      </c>
      <c r="B104" s="14" t="s">
        <v>68</v>
      </c>
      <c r="C104" s="7">
        <v>41</v>
      </c>
      <c r="D104" s="8">
        <v>41</v>
      </c>
      <c r="E104" s="42" t="s">
        <v>58</v>
      </c>
      <c r="F104" s="9">
        <v>1.62</v>
      </c>
      <c r="G104" s="7">
        <v>2786</v>
      </c>
      <c r="H104" s="8">
        <v>6274</v>
      </c>
      <c r="I104" s="8">
        <v>536</v>
      </c>
      <c r="J104" s="8">
        <v>1536</v>
      </c>
      <c r="K104" s="8">
        <v>1591</v>
      </c>
      <c r="L104" s="8">
        <v>2158</v>
      </c>
      <c r="M104" s="8">
        <v>898</v>
      </c>
      <c r="N104" s="8">
        <v>2559</v>
      </c>
      <c r="O104" s="8">
        <v>1631</v>
      </c>
      <c r="P104" s="8">
        <v>598</v>
      </c>
      <c r="Q104" s="8">
        <v>409</v>
      </c>
      <c r="R104" s="8">
        <v>1254</v>
      </c>
      <c r="S104" s="8">
        <v>1821</v>
      </c>
      <c r="T104" s="9">
        <v>7699</v>
      </c>
      <c r="U104" s="7">
        <v>2831</v>
      </c>
      <c r="V104" s="8">
        <v>6504</v>
      </c>
      <c r="W104" s="8">
        <v>371</v>
      </c>
      <c r="X104" s="8">
        <v>1083</v>
      </c>
      <c r="Y104" s="8">
        <v>1511</v>
      </c>
      <c r="Z104" s="8">
        <v>2060</v>
      </c>
      <c r="AA104" s="8">
        <v>968</v>
      </c>
      <c r="AB104" s="8">
        <v>2416</v>
      </c>
      <c r="AC104" s="8">
        <v>1520</v>
      </c>
      <c r="AD104" s="8">
        <v>661</v>
      </c>
      <c r="AE104" s="8">
        <v>399</v>
      </c>
      <c r="AF104" s="8">
        <v>1112</v>
      </c>
      <c r="AG104" s="8">
        <v>1800</v>
      </c>
      <c r="AH104" s="9">
        <v>7544</v>
      </c>
    </row>
    <row r="105" spans="1:34" x14ac:dyDescent="0.25">
      <c r="A105" s="7" t="s">
        <v>27</v>
      </c>
      <c r="B105" s="14" t="s">
        <v>68</v>
      </c>
      <c r="C105" s="7">
        <v>47</v>
      </c>
      <c r="D105" s="8">
        <v>35</v>
      </c>
      <c r="E105" s="42" t="s">
        <v>58</v>
      </c>
      <c r="F105" s="9">
        <v>1.75</v>
      </c>
      <c r="G105" s="7">
        <v>2993</v>
      </c>
      <c r="H105" s="8">
        <v>6443</v>
      </c>
      <c r="I105" s="8">
        <v>290</v>
      </c>
      <c r="J105" s="8">
        <v>843</v>
      </c>
      <c r="K105" s="8">
        <v>1694</v>
      </c>
      <c r="L105" s="8">
        <v>2142</v>
      </c>
      <c r="M105" s="8">
        <v>828</v>
      </c>
      <c r="N105" s="8">
        <v>2704</v>
      </c>
      <c r="O105" s="8">
        <v>1708</v>
      </c>
      <c r="P105" s="8">
        <v>534</v>
      </c>
      <c r="Q105" s="8">
        <v>503</v>
      </c>
      <c r="R105" s="8">
        <v>1185</v>
      </c>
      <c r="S105" s="8">
        <v>1872</v>
      </c>
      <c r="T105" s="9">
        <v>7970</v>
      </c>
      <c r="U105" s="7">
        <v>2887</v>
      </c>
      <c r="V105" s="8">
        <v>6638</v>
      </c>
      <c r="W105" s="8">
        <v>474</v>
      </c>
      <c r="X105" s="8">
        <v>1367</v>
      </c>
      <c r="Y105" s="8">
        <v>1593</v>
      </c>
      <c r="Z105" s="8">
        <v>2175</v>
      </c>
      <c r="AA105" s="8">
        <v>858</v>
      </c>
      <c r="AB105" s="8">
        <v>2432</v>
      </c>
      <c r="AC105" s="8">
        <v>1765</v>
      </c>
      <c r="AD105" s="8">
        <v>570</v>
      </c>
      <c r="AE105" s="8">
        <v>355</v>
      </c>
      <c r="AF105" s="8">
        <v>1053</v>
      </c>
      <c r="AG105" s="8">
        <v>1777</v>
      </c>
      <c r="AH105" s="9">
        <v>7841</v>
      </c>
    </row>
    <row r="106" spans="1:34" x14ac:dyDescent="0.25">
      <c r="A106" s="7" t="s">
        <v>70</v>
      </c>
      <c r="B106" s="14" t="s">
        <v>68</v>
      </c>
      <c r="C106" s="7">
        <v>45</v>
      </c>
      <c r="D106" s="8">
        <v>37</v>
      </c>
      <c r="E106" s="42" t="s">
        <v>58</v>
      </c>
      <c r="F106" s="9">
        <v>2.5299999999999998</v>
      </c>
      <c r="G106" s="7">
        <v>2992</v>
      </c>
      <c r="H106" s="8">
        <v>6607</v>
      </c>
      <c r="I106" s="8">
        <v>552</v>
      </c>
      <c r="J106" s="8">
        <v>1583</v>
      </c>
      <c r="K106" s="8">
        <v>1618</v>
      </c>
      <c r="L106" s="8">
        <v>2172</v>
      </c>
      <c r="M106" s="8">
        <v>970</v>
      </c>
      <c r="N106" s="8">
        <v>2488</v>
      </c>
      <c r="O106" s="8">
        <v>1734</v>
      </c>
      <c r="P106" s="8">
        <v>628</v>
      </c>
      <c r="Q106" s="8">
        <v>350</v>
      </c>
      <c r="R106" s="8">
        <v>1143</v>
      </c>
      <c r="S106" s="8">
        <v>1894</v>
      </c>
      <c r="T106" s="9">
        <v>8154</v>
      </c>
      <c r="U106" s="7">
        <v>2945</v>
      </c>
      <c r="V106" s="8">
        <v>6547</v>
      </c>
      <c r="W106" s="8">
        <v>474</v>
      </c>
      <c r="X106" s="8">
        <v>1342</v>
      </c>
      <c r="Y106" s="8">
        <v>1585</v>
      </c>
      <c r="Z106" s="8">
        <v>2123</v>
      </c>
      <c r="AA106" s="8">
        <v>893</v>
      </c>
      <c r="AB106" s="8">
        <v>2399</v>
      </c>
      <c r="AC106" s="8">
        <v>1730</v>
      </c>
      <c r="AD106" s="8">
        <v>536</v>
      </c>
      <c r="AE106" s="8">
        <v>354</v>
      </c>
      <c r="AF106" s="8">
        <v>1158</v>
      </c>
      <c r="AG106" s="8">
        <v>1925</v>
      </c>
      <c r="AH106" s="9">
        <v>7949</v>
      </c>
    </row>
    <row r="107" spans="1:34" x14ac:dyDescent="0.25">
      <c r="A107" s="7" t="s">
        <v>28</v>
      </c>
      <c r="B107" s="14" t="s">
        <v>68</v>
      </c>
      <c r="C107" s="7">
        <v>49</v>
      </c>
      <c r="D107" s="8">
        <v>33</v>
      </c>
      <c r="E107" s="42" t="s">
        <v>58</v>
      </c>
      <c r="F107" s="9">
        <v>3.74</v>
      </c>
      <c r="G107" s="7">
        <v>2746</v>
      </c>
      <c r="H107" s="8">
        <v>6125</v>
      </c>
      <c r="I107" s="8">
        <v>590</v>
      </c>
      <c r="J107" s="8">
        <v>1578</v>
      </c>
      <c r="K107" s="8">
        <v>1476</v>
      </c>
      <c r="L107" s="8">
        <v>2077</v>
      </c>
      <c r="M107" s="8">
        <v>834</v>
      </c>
      <c r="N107" s="8">
        <v>2379</v>
      </c>
      <c r="O107" s="8">
        <v>1586</v>
      </c>
      <c r="P107" s="8">
        <v>600</v>
      </c>
      <c r="Q107" s="8">
        <v>442</v>
      </c>
      <c r="R107" s="8">
        <v>1134</v>
      </c>
      <c r="S107" s="8">
        <v>1757</v>
      </c>
      <c r="T107" s="9">
        <v>7558</v>
      </c>
      <c r="U107" s="7">
        <v>2691</v>
      </c>
      <c r="V107" s="8">
        <v>6172</v>
      </c>
      <c r="W107" s="8">
        <v>408</v>
      </c>
      <c r="X107" s="8">
        <v>1223</v>
      </c>
      <c r="Y107" s="8">
        <v>1465</v>
      </c>
      <c r="Z107" s="8">
        <v>1942</v>
      </c>
      <c r="AA107" s="8">
        <v>927</v>
      </c>
      <c r="AB107" s="8">
        <v>2404</v>
      </c>
      <c r="AC107" s="8">
        <v>1605</v>
      </c>
      <c r="AD107" s="8">
        <v>597</v>
      </c>
      <c r="AE107" s="8">
        <v>456</v>
      </c>
      <c r="AF107" s="8">
        <v>1213</v>
      </c>
      <c r="AG107" s="8">
        <v>1867</v>
      </c>
      <c r="AH107" s="9">
        <v>7255</v>
      </c>
    </row>
    <row r="108" spans="1:34" x14ac:dyDescent="0.25">
      <c r="A108" s="7" t="s">
        <v>54</v>
      </c>
      <c r="B108" s="14" t="s">
        <v>68</v>
      </c>
      <c r="C108" s="7">
        <v>52</v>
      </c>
      <c r="D108" s="8">
        <v>30</v>
      </c>
      <c r="E108" s="42" t="s">
        <v>58</v>
      </c>
      <c r="F108" s="9">
        <v>3.59</v>
      </c>
      <c r="G108" s="7">
        <v>3039</v>
      </c>
      <c r="H108" s="8">
        <v>6355</v>
      </c>
      <c r="I108" s="8">
        <v>497</v>
      </c>
      <c r="J108" s="8">
        <v>1441</v>
      </c>
      <c r="K108" s="8">
        <v>1616</v>
      </c>
      <c r="L108" s="8">
        <v>2310</v>
      </c>
      <c r="M108" s="8">
        <v>858</v>
      </c>
      <c r="N108" s="8">
        <v>2675</v>
      </c>
      <c r="O108" s="8">
        <v>1692</v>
      </c>
      <c r="P108" s="8">
        <v>522</v>
      </c>
      <c r="Q108" s="8">
        <v>442</v>
      </c>
      <c r="R108" s="8">
        <v>1186</v>
      </c>
      <c r="S108" s="8">
        <v>1871</v>
      </c>
      <c r="T108" s="9">
        <v>8191</v>
      </c>
      <c r="U108" s="7">
        <v>2871</v>
      </c>
      <c r="V108" s="8">
        <v>6529</v>
      </c>
      <c r="W108" s="8">
        <v>490</v>
      </c>
      <c r="X108" s="8">
        <v>1359</v>
      </c>
      <c r="Y108" s="8">
        <v>1642</v>
      </c>
      <c r="Z108" s="8">
        <v>2223</v>
      </c>
      <c r="AA108" s="8">
        <v>826</v>
      </c>
      <c r="AB108" s="8">
        <v>2359</v>
      </c>
      <c r="AC108" s="8">
        <v>1596</v>
      </c>
      <c r="AD108" s="8">
        <v>560</v>
      </c>
      <c r="AE108" s="8">
        <v>298</v>
      </c>
      <c r="AF108" s="8">
        <v>1063</v>
      </c>
      <c r="AG108" s="8">
        <v>1938</v>
      </c>
      <c r="AH108" s="9">
        <v>7874</v>
      </c>
    </row>
    <row r="109" spans="1:34" x14ac:dyDescent="0.25">
      <c r="A109" s="7" t="s">
        <v>21</v>
      </c>
      <c r="B109" s="14" t="s">
        <v>68</v>
      </c>
      <c r="C109" s="7">
        <v>40</v>
      </c>
      <c r="D109" s="8">
        <v>42</v>
      </c>
      <c r="E109" s="42" t="s">
        <v>58</v>
      </c>
      <c r="F109" s="9">
        <v>-1.07</v>
      </c>
      <c r="G109" s="7">
        <v>2976</v>
      </c>
      <c r="H109" s="8">
        <v>6566</v>
      </c>
      <c r="I109" s="8">
        <v>507</v>
      </c>
      <c r="J109" s="8">
        <v>1335</v>
      </c>
      <c r="K109" s="8">
        <v>1561</v>
      </c>
      <c r="L109" s="8">
        <v>2115</v>
      </c>
      <c r="M109" s="8">
        <v>929</v>
      </c>
      <c r="N109" s="8">
        <v>2448</v>
      </c>
      <c r="O109" s="8">
        <v>1769</v>
      </c>
      <c r="P109" s="8">
        <v>597</v>
      </c>
      <c r="Q109" s="8">
        <v>270</v>
      </c>
      <c r="R109" s="8">
        <v>1197</v>
      </c>
      <c r="S109" s="8">
        <v>1902</v>
      </c>
      <c r="T109" s="9">
        <v>8020</v>
      </c>
      <c r="U109" s="7">
        <v>2972</v>
      </c>
      <c r="V109" s="8">
        <v>6383</v>
      </c>
      <c r="W109" s="8">
        <v>490</v>
      </c>
      <c r="X109" s="8">
        <v>1385</v>
      </c>
      <c r="Y109" s="8">
        <v>1671</v>
      </c>
      <c r="Z109" s="8">
        <v>2237</v>
      </c>
      <c r="AA109" s="8">
        <v>832</v>
      </c>
      <c r="AB109" s="8">
        <v>2475</v>
      </c>
      <c r="AC109" s="8">
        <v>1847</v>
      </c>
      <c r="AD109" s="8">
        <v>606</v>
      </c>
      <c r="AE109" s="8">
        <v>414</v>
      </c>
      <c r="AF109" s="8">
        <v>1182</v>
      </c>
      <c r="AG109" s="8">
        <v>1937</v>
      </c>
      <c r="AH109" s="9">
        <v>8105</v>
      </c>
    </row>
    <row r="110" spans="1:34" x14ac:dyDescent="0.25">
      <c r="A110" s="7" t="s">
        <v>24</v>
      </c>
      <c r="B110" s="14" t="s">
        <v>68</v>
      </c>
      <c r="C110" s="7">
        <v>33</v>
      </c>
      <c r="D110" s="8">
        <v>49</v>
      </c>
      <c r="E110" s="42" t="s">
        <v>59</v>
      </c>
      <c r="F110" s="9">
        <v>-1.75</v>
      </c>
      <c r="G110" s="7">
        <v>2888</v>
      </c>
      <c r="H110" s="8">
        <v>6340</v>
      </c>
      <c r="I110" s="8">
        <v>310</v>
      </c>
      <c r="J110" s="8">
        <v>942</v>
      </c>
      <c r="K110" s="8">
        <v>1436</v>
      </c>
      <c r="L110" s="8">
        <v>1895</v>
      </c>
      <c r="M110" s="8">
        <v>811</v>
      </c>
      <c r="N110" s="8">
        <v>2422</v>
      </c>
      <c r="O110" s="8">
        <v>1716</v>
      </c>
      <c r="P110" s="8">
        <v>559</v>
      </c>
      <c r="Q110" s="8">
        <v>471</v>
      </c>
      <c r="R110" s="8">
        <v>1189</v>
      </c>
      <c r="S110" s="8">
        <v>1889</v>
      </c>
      <c r="T110" s="9">
        <v>7522</v>
      </c>
      <c r="U110" s="7">
        <v>2852</v>
      </c>
      <c r="V110" s="8">
        <v>6474</v>
      </c>
      <c r="W110" s="8">
        <v>447</v>
      </c>
      <c r="X110" s="8">
        <v>1229</v>
      </c>
      <c r="Y110" s="8">
        <v>1525</v>
      </c>
      <c r="Z110" s="8">
        <v>2072</v>
      </c>
      <c r="AA110" s="8">
        <v>974</v>
      </c>
      <c r="AB110" s="8">
        <v>2411</v>
      </c>
      <c r="AC110" s="8">
        <v>1554</v>
      </c>
      <c r="AD110" s="8">
        <v>539</v>
      </c>
      <c r="AE110" s="8">
        <v>374</v>
      </c>
      <c r="AF110" s="8">
        <v>1139</v>
      </c>
      <c r="AG110" s="8">
        <v>1736</v>
      </c>
      <c r="AH110" s="9">
        <v>7676</v>
      </c>
    </row>
    <row r="111" spans="1:34" x14ac:dyDescent="0.25">
      <c r="A111" s="7" t="s">
        <v>23</v>
      </c>
      <c r="B111" s="14" t="s">
        <v>68</v>
      </c>
      <c r="C111" s="7">
        <v>49</v>
      </c>
      <c r="D111" s="8">
        <v>33</v>
      </c>
      <c r="E111" s="42" t="s">
        <v>58</v>
      </c>
      <c r="F111" s="9">
        <v>1.1100000000000001</v>
      </c>
      <c r="G111" s="7">
        <v>2778</v>
      </c>
      <c r="H111" s="8">
        <v>6317</v>
      </c>
      <c r="I111" s="8">
        <v>477</v>
      </c>
      <c r="J111" s="8">
        <v>1447</v>
      </c>
      <c r="K111" s="8">
        <v>1658</v>
      </c>
      <c r="L111" s="8">
        <v>2187</v>
      </c>
      <c r="M111" s="8">
        <v>822</v>
      </c>
      <c r="N111" s="8">
        <v>2539</v>
      </c>
      <c r="O111" s="8">
        <v>1884</v>
      </c>
      <c r="P111" s="8">
        <v>558</v>
      </c>
      <c r="Q111" s="8">
        <v>278</v>
      </c>
      <c r="R111" s="8">
        <v>1119</v>
      </c>
      <c r="S111" s="8">
        <v>1903</v>
      </c>
      <c r="T111" s="9">
        <v>7691</v>
      </c>
      <c r="U111" s="7">
        <v>2730</v>
      </c>
      <c r="V111" s="8">
        <v>6222</v>
      </c>
      <c r="W111" s="8">
        <v>465</v>
      </c>
      <c r="X111" s="8">
        <v>1336</v>
      </c>
      <c r="Y111" s="8">
        <v>1654</v>
      </c>
      <c r="Z111" s="8">
        <v>2232</v>
      </c>
      <c r="AA111" s="8">
        <v>787</v>
      </c>
      <c r="AB111" s="8">
        <v>2599</v>
      </c>
      <c r="AC111" s="8">
        <v>1641</v>
      </c>
      <c r="AD111" s="8">
        <v>589</v>
      </c>
      <c r="AE111" s="8">
        <v>329</v>
      </c>
      <c r="AF111" s="8">
        <v>1177</v>
      </c>
      <c r="AG111" s="8">
        <v>1889</v>
      </c>
      <c r="AH111" s="9">
        <v>7579</v>
      </c>
    </row>
    <row r="112" spans="1:34" x14ac:dyDescent="0.25">
      <c r="A112" s="7" t="s">
        <v>62</v>
      </c>
      <c r="B112" s="14" t="s">
        <v>68</v>
      </c>
      <c r="C112" s="7">
        <v>38</v>
      </c>
      <c r="D112" s="8">
        <v>44</v>
      </c>
      <c r="E112" s="42" t="s">
        <v>59</v>
      </c>
      <c r="F112" s="9">
        <v>-2.5099999999999998</v>
      </c>
      <c r="G112" s="7">
        <v>2831</v>
      </c>
      <c r="H112" s="8">
        <v>6428</v>
      </c>
      <c r="I112" s="8">
        <v>300</v>
      </c>
      <c r="J112" s="8">
        <v>885</v>
      </c>
      <c r="K112" s="8">
        <v>1649</v>
      </c>
      <c r="L112" s="8">
        <v>2176</v>
      </c>
      <c r="M112" s="8">
        <v>918</v>
      </c>
      <c r="N112" s="8">
        <v>2379</v>
      </c>
      <c r="O112" s="8">
        <v>1519</v>
      </c>
      <c r="P112" s="8">
        <v>611</v>
      </c>
      <c r="Q112" s="8">
        <v>311</v>
      </c>
      <c r="R112" s="8">
        <v>1095</v>
      </c>
      <c r="S112" s="8">
        <v>1786</v>
      </c>
      <c r="T112" s="9">
        <v>7611</v>
      </c>
      <c r="U112" s="7">
        <v>2883</v>
      </c>
      <c r="V112" s="8">
        <v>6286</v>
      </c>
      <c r="W112" s="8">
        <v>546</v>
      </c>
      <c r="X112" s="8">
        <v>1486</v>
      </c>
      <c r="Y112" s="8">
        <v>1530</v>
      </c>
      <c r="Z112" s="8">
        <v>2014</v>
      </c>
      <c r="AA112" s="8">
        <v>860</v>
      </c>
      <c r="AB112" s="8">
        <v>2498</v>
      </c>
      <c r="AC112" s="8">
        <v>1584</v>
      </c>
      <c r="AD112" s="8">
        <v>527</v>
      </c>
      <c r="AE112" s="8">
        <v>432</v>
      </c>
      <c r="AF112" s="8">
        <v>1197</v>
      </c>
      <c r="AG112" s="8">
        <v>1910</v>
      </c>
      <c r="AH112" s="9">
        <v>7842</v>
      </c>
    </row>
    <row r="113" spans="1:34" x14ac:dyDescent="0.25">
      <c r="A113" s="7" t="s">
        <v>18</v>
      </c>
      <c r="B113" s="14" t="s">
        <v>68</v>
      </c>
      <c r="C113" s="7">
        <v>23</v>
      </c>
      <c r="D113" s="8">
        <v>59</v>
      </c>
      <c r="E113" s="42" t="s">
        <v>59</v>
      </c>
      <c r="F113" s="9">
        <v>-6.3</v>
      </c>
      <c r="G113" s="7">
        <v>2822</v>
      </c>
      <c r="H113" s="8">
        <v>6206</v>
      </c>
      <c r="I113" s="8">
        <v>320</v>
      </c>
      <c r="J113" s="8">
        <v>884</v>
      </c>
      <c r="K113" s="8">
        <v>1878</v>
      </c>
      <c r="L113" s="8">
        <v>2587</v>
      </c>
      <c r="M113" s="8">
        <v>1034</v>
      </c>
      <c r="N113" s="8">
        <v>2360</v>
      </c>
      <c r="O113" s="8">
        <v>1468</v>
      </c>
      <c r="P113" s="8">
        <v>555</v>
      </c>
      <c r="Q113" s="8">
        <v>271</v>
      </c>
      <c r="R113" s="8">
        <v>1449</v>
      </c>
      <c r="S113" s="8">
        <v>2157</v>
      </c>
      <c r="T113" s="9">
        <v>7842</v>
      </c>
      <c r="U113" s="7">
        <v>2967</v>
      </c>
      <c r="V113" s="8">
        <v>6359</v>
      </c>
      <c r="W113" s="8">
        <v>565</v>
      </c>
      <c r="X113" s="8">
        <v>1495</v>
      </c>
      <c r="Y113" s="8">
        <v>1868</v>
      </c>
      <c r="Z113" s="8">
        <v>2480</v>
      </c>
      <c r="AA113" s="8">
        <v>883</v>
      </c>
      <c r="AB113" s="8">
        <v>2280</v>
      </c>
      <c r="AC113" s="8">
        <v>1744</v>
      </c>
      <c r="AD113" s="8">
        <v>674</v>
      </c>
      <c r="AE113" s="8">
        <v>437</v>
      </c>
      <c r="AF113" s="8">
        <v>1154</v>
      </c>
      <c r="AG113" s="8">
        <v>2079</v>
      </c>
      <c r="AH113" s="9">
        <v>8367</v>
      </c>
    </row>
    <row r="114" spans="1:34" x14ac:dyDescent="0.25">
      <c r="A114" s="7" t="s">
        <v>66</v>
      </c>
      <c r="B114" s="14" t="s">
        <v>68</v>
      </c>
      <c r="C114" s="7">
        <v>36</v>
      </c>
      <c r="D114" s="8">
        <v>46</v>
      </c>
      <c r="E114" s="42" t="s">
        <v>59</v>
      </c>
      <c r="F114" s="9">
        <v>-1.26</v>
      </c>
      <c r="G114" s="7">
        <v>2911</v>
      </c>
      <c r="H114" s="8">
        <v>6167</v>
      </c>
      <c r="I114" s="8">
        <v>299</v>
      </c>
      <c r="J114" s="8">
        <v>796</v>
      </c>
      <c r="K114" s="8">
        <v>1663</v>
      </c>
      <c r="L114" s="8">
        <v>2277</v>
      </c>
      <c r="M114" s="8">
        <v>892</v>
      </c>
      <c r="N114" s="8">
        <v>2402</v>
      </c>
      <c r="O114" s="8">
        <v>1495</v>
      </c>
      <c r="P114" s="8">
        <v>532</v>
      </c>
      <c r="Q114" s="8">
        <v>362</v>
      </c>
      <c r="R114" s="8">
        <v>1240</v>
      </c>
      <c r="S114" s="8">
        <v>1908</v>
      </c>
      <c r="T114" s="9">
        <v>7784</v>
      </c>
      <c r="U114" s="7">
        <v>2870</v>
      </c>
      <c r="V114" s="8">
        <v>6327</v>
      </c>
      <c r="W114" s="8">
        <v>460</v>
      </c>
      <c r="X114" s="8">
        <v>1287</v>
      </c>
      <c r="Y114" s="8">
        <v>1672</v>
      </c>
      <c r="Z114" s="8">
        <v>2285</v>
      </c>
      <c r="AA114" s="8">
        <v>911</v>
      </c>
      <c r="AB114" s="8">
        <v>2239</v>
      </c>
      <c r="AC114" s="8">
        <v>1644</v>
      </c>
      <c r="AD114" s="8">
        <v>615</v>
      </c>
      <c r="AE114" s="8">
        <v>386</v>
      </c>
      <c r="AF114" s="8">
        <v>1099</v>
      </c>
      <c r="AG114" s="8">
        <v>1899</v>
      </c>
      <c r="AH114" s="9">
        <v>7872</v>
      </c>
    </row>
    <row r="115" spans="1:34" x14ac:dyDescent="0.25">
      <c r="A115" s="7" t="s">
        <v>63</v>
      </c>
      <c r="B115" s="14" t="s">
        <v>68</v>
      </c>
      <c r="C115" s="7">
        <v>38</v>
      </c>
      <c r="D115" s="8">
        <v>44</v>
      </c>
      <c r="E115" s="42" t="s">
        <v>59</v>
      </c>
      <c r="F115" s="9">
        <v>-2.11</v>
      </c>
      <c r="G115" s="7">
        <v>3001</v>
      </c>
      <c r="H115" s="8">
        <v>6546</v>
      </c>
      <c r="I115" s="8">
        <v>375</v>
      </c>
      <c r="J115" s="8">
        <v>1031</v>
      </c>
      <c r="K115" s="8">
        <v>1770</v>
      </c>
      <c r="L115" s="8">
        <v>2330</v>
      </c>
      <c r="M115" s="8">
        <v>873</v>
      </c>
      <c r="N115" s="8">
        <v>2425</v>
      </c>
      <c r="O115" s="8">
        <v>1653</v>
      </c>
      <c r="P115" s="8">
        <v>651</v>
      </c>
      <c r="Q115" s="8">
        <v>404</v>
      </c>
      <c r="R115" s="8">
        <v>1159</v>
      </c>
      <c r="S115" s="8">
        <v>1712</v>
      </c>
      <c r="T115" s="9">
        <v>8147</v>
      </c>
      <c r="U115" s="7">
        <v>3100</v>
      </c>
      <c r="V115" s="8">
        <v>6699</v>
      </c>
      <c r="W115" s="8">
        <v>498</v>
      </c>
      <c r="X115" s="8">
        <v>1420</v>
      </c>
      <c r="Y115" s="8">
        <v>1609</v>
      </c>
      <c r="Z115" s="8">
        <v>2111</v>
      </c>
      <c r="AA115" s="8">
        <v>974</v>
      </c>
      <c r="AB115" s="8">
        <v>2533</v>
      </c>
      <c r="AC115" s="8">
        <v>1882</v>
      </c>
      <c r="AD115" s="8">
        <v>630</v>
      </c>
      <c r="AE115" s="8">
        <v>386</v>
      </c>
      <c r="AF115" s="8">
        <v>1269</v>
      </c>
      <c r="AG115" s="8">
        <v>1898</v>
      </c>
      <c r="AH115" s="9">
        <v>8307</v>
      </c>
    </row>
    <row r="116" spans="1:34" x14ac:dyDescent="0.25">
      <c r="A116" s="7" t="s">
        <v>16</v>
      </c>
      <c r="B116" s="14" t="s">
        <v>68</v>
      </c>
      <c r="C116" s="7">
        <v>54</v>
      </c>
      <c r="D116" s="8">
        <v>28</v>
      </c>
      <c r="E116" s="42" t="s">
        <v>58</v>
      </c>
      <c r="F116" s="9">
        <v>5.48</v>
      </c>
      <c r="G116" s="7">
        <v>3430</v>
      </c>
      <c r="H116" s="8">
        <v>7167</v>
      </c>
      <c r="I116" s="8">
        <v>837</v>
      </c>
      <c r="J116" s="8">
        <v>2097</v>
      </c>
      <c r="K116" s="8">
        <v>1189</v>
      </c>
      <c r="L116" s="8">
        <v>1475</v>
      </c>
      <c r="M116" s="8">
        <v>778</v>
      </c>
      <c r="N116" s="8">
        <v>2650</v>
      </c>
      <c r="O116" s="8">
        <v>2179</v>
      </c>
      <c r="P116" s="8">
        <v>549</v>
      </c>
      <c r="Q116" s="8">
        <v>412</v>
      </c>
      <c r="R116" s="8">
        <v>1088</v>
      </c>
      <c r="S116" s="8">
        <v>1683</v>
      </c>
      <c r="T116" s="9">
        <v>8886</v>
      </c>
      <c r="U116" s="7">
        <v>3243</v>
      </c>
      <c r="V116" s="8">
        <v>7141</v>
      </c>
      <c r="W116" s="8">
        <v>516</v>
      </c>
      <c r="X116" s="8">
        <v>1423</v>
      </c>
      <c r="Y116" s="8">
        <v>1429</v>
      </c>
      <c r="Z116" s="8">
        <v>1956</v>
      </c>
      <c r="AA116" s="8">
        <v>1028</v>
      </c>
      <c r="AB116" s="8">
        <v>2735</v>
      </c>
      <c r="AC116" s="8">
        <v>1546</v>
      </c>
      <c r="AD116" s="8">
        <v>591</v>
      </c>
      <c r="AE116" s="8">
        <v>282</v>
      </c>
      <c r="AF116" s="8">
        <v>1218</v>
      </c>
      <c r="AG116" s="8">
        <v>1623</v>
      </c>
      <c r="AH116" s="9">
        <v>8431</v>
      </c>
    </row>
    <row r="117" spans="1:34" x14ac:dyDescent="0.25">
      <c r="A117" s="7" t="s">
        <v>55</v>
      </c>
      <c r="B117" s="14" t="s">
        <v>68</v>
      </c>
      <c r="C117" s="7">
        <v>21</v>
      </c>
      <c r="D117" s="8">
        <v>61</v>
      </c>
      <c r="E117" s="42" t="s">
        <v>59</v>
      </c>
      <c r="F117" s="9">
        <v>-8.91</v>
      </c>
      <c r="G117" s="7">
        <v>2791</v>
      </c>
      <c r="H117" s="8">
        <v>6267</v>
      </c>
      <c r="I117" s="8">
        <v>364</v>
      </c>
      <c r="J117" s="8">
        <v>1042</v>
      </c>
      <c r="K117" s="8">
        <v>1339</v>
      </c>
      <c r="L117" s="8">
        <v>1944</v>
      </c>
      <c r="M117" s="8">
        <v>886</v>
      </c>
      <c r="N117" s="8">
        <v>2203</v>
      </c>
      <c r="O117" s="8">
        <v>1490</v>
      </c>
      <c r="P117" s="8">
        <v>529</v>
      </c>
      <c r="Q117" s="8">
        <v>435</v>
      </c>
      <c r="R117" s="8">
        <v>1205</v>
      </c>
      <c r="S117" s="8">
        <v>1828</v>
      </c>
      <c r="T117" s="9">
        <v>7285</v>
      </c>
      <c r="U117" s="7">
        <v>3032</v>
      </c>
      <c r="V117" s="8">
        <v>6472</v>
      </c>
      <c r="W117" s="8">
        <v>498</v>
      </c>
      <c r="X117" s="8">
        <v>1306</v>
      </c>
      <c r="Y117" s="8">
        <v>1498</v>
      </c>
      <c r="Z117" s="8">
        <v>1971</v>
      </c>
      <c r="AA117" s="8">
        <v>1029</v>
      </c>
      <c r="AB117" s="8">
        <v>2445</v>
      </c>
      <c r="AC117" s="8">
        <v>1737</v>
      </c>
      <c r="AD117" s="8">
        <v>592</v>
      </c>
      <c r="AE117" s="8">
        <v>403</v>
      </c>
      <c r="AF117" s="8">
        <v>1060</v>
      </c>
      <c r="AG117" s="8">
        <v>1704</v>
      </c>
      <c r="AH117" s="9">
        <v>8060</v>
      </c>
    </row>
    <row r="118" spans="1:34" x14ac:dyDescent="0.25">
      <c r="A118" s="7" t="s">
        <v>20</v>
      </c>
      <c r="B118" s="14" t="s">
        <v>68</v>
      </c>
      <c r="C118" s="7">
        <v>44</v>
      </c>
      <c r="D118" s="8">
        <v>38</v>
      </c>
      <c r="E118" s="42" t="s">
        <v>58</v>
      </c>
      <c r="F118" s="9">
        <v>1.61</v>
      </c>
      <c r="G118" s="7">
        <v>2954</v>
      </c>
      <c r="H118" s="8">
        <v>6500</v>
      </c>
      <c r="I118" s="8">
        <v>494</v>
      </c>
      <c r="J118" s="8">
        <v>1408</v>
      </c>
      <c r="K118" s="8">
        <v>1704</v>
      </c>
      <c r="L118" s="8">
        <v>2173</v>
      </c>
      <c r="M118" s="8">
        <v>852</v>
      </c>
      <c r="N118" s="8">
        <v>2473</v>
      </c>
      <c r="O118" s="8">
        <v>1825</v>
      </c>
      <c r="P118" s="8">
        <v>608</v>
      </c>
      <c r="Q118" s="8">
        <v>299</v>
      </c>
      <c r="R118" s="8">
        <v>1199</v>
      </c>
      <c r="S118" s="8">
        <v>1672</v>
      </c>
      <c r="T118" s="9">
        <v>8106</v>
      </c>
      <c r="U118" s="7">
        <v>3053</v>
      </c>
      <c r="V118" s="8">
        <v>6726</v>
      </c>
      <c r="W118" s="8">
        <v>462</v>
      </c>
      <c r="X118" s="8">
        <v>1316</v>
      </c>
      <c r="Y118" s="8">
        <v>1412</v>
      </c>
      <c r="Z118" s="8">
        <v>1891</v>
      </c>
      <c r="AA118" s="8">
        <v>953</v>
      </c>
      <c r="AB118" s="8">
        <v>2503</v>
      </c>
      <c r="AC118" s="8">
        <v>1733</v>
      </c>
      <c r="AD118" s="8">
        <v>656</v>
      </c>
      <c r="AE118" s="8">
        <v>403</v>
      </c>
      <c r="AF118" s="8">
        <v>1199</v>
      </c>
      <c r="AG118" s="8">
        <v>1886</v>
      </c>
      <c r="AH118" s="9">
        <v>7980</v>
      </c>
    </row>
    <row r="119" spans="1:34" x14ac:dyDescent="0.25">
      <c r="A119" s="7" t="s">
        <v>76</v>
      </c>
      <c r="B119" s="14" t="s">
        <v>68</v>
      </c>
      <c r="C119" s="7">
        <v>63</v>
      </c>
      <c r="D119" s="8">
        <v>19</v>
      </c>
      <c r="E119" s="42" t="s">
        <v>58</v>
      </c>
      <c r="F119" s="9">
        <v>6.69</v>
      </c>
      <c r="G119" s="7">
        <v>2993</v>
      </c>
      <c r="H119" s="8">
        <v>6342</v>
      </c>
      <c r="I119" s="8">
        <v>524</v>
      </c>
      <c r="J119" s="8">
        <v>1362</v>
      </c>
      <c r="K119" s="8">
        <v>1327</v>
      </c>
      <c r="L119" s="8">
        <v>1891</v>
      </c>
      <c r="M119" s="8">
        <v>851</v>
      </c>
      <c r="N119" s="8">
        <v>2548</v>
      </c>
      <c r="O119" s="8">
        <v>1717</v>
      </c>
      <c r="P119" s="8">
        <v>543</v>
      </c>
      <c r="Q119" s="8">
        <v>467</v>
      </c>
      <c r="R119" s="8">
        <v>1126</v>
      </c>
      <c r="S119" s="8">
        <v>1714</v>
      </c>
      <c r="T119" s="9">
        <v>7837</v>
      </c>
      <c r="U119" s="7">
        <v>2782</v>
      </c>
      <c r="V119" s="8">
        <v>6420</v>
      </c>
      <c r="W119" s="8">
        <v>300</v>
      </c>
      <c r="X119" s="8">
        <v>886</v>
      </c>
      <c r="Y119" s="8">
        <v>1414</v>
      </c>
      <c r="Z119" s="8">
        <v>1912</v>
      </c>
      <c r="AA119" s="8">
        <v>886</v>
      </c>
      <c r="AB119" s="8">
        <v>2417</v>
      </c>
      <c r="AC119" s="8">
        <v>1336</v>
      </c>
      <c r="AD119" s="8">
        <v>599</v>
      </c>
      <c r="AE119" s="8">
        <v>343</v>
      </c>
      <c r="AF119" s="8">
        <v>1136</v>
      </c>
      <c r="AG119" s="8">
        <v>1709</v>
      </c>
      <c r="AH119" s="9">
        <v>7278</v>
      </c>
    </row>
    <row r="120" spans="1:34" x14ac:dyDescent="0.25">
      <c r="A120" s="7" t="s">
        <v>56</v>
      </c>
      <c r="B120" s="14" t="s">
        <v>68</v>
      </c>
      <c r="C120" s="7">
        <v>35</v>
      </c>
      <c r="D120" s="8">
        <v>47</v>
      </c>
      <c r="E120" s="42" t="s">
        <v>59</v>
      </c>
      <c r="F120" s="9">
        <v>-2.88</v>
      </c>
      <c r="G120" s="7">
        <v>3077</v>
      </c>
      <c r="H120" s="8">
        <v>6711</v>
      </c>
      <c r="I120" s="8">
        <v>605</v>
      </c>
      <c r="J120" s="8">
        <v>1631</v>
      </c>
      <c r="K120" s="8">
        <v>1652</v>
      </c>
      <c r="L120" s="8">
        <v>2104</v>
      </c>
      <c r="M120" s="8">
        <v>1013</v>
      </c>
      <c r="N120" s="8">
        <v>2233</v>
      </c>
      <c r="O120" s="8">
        <v>1696</v>
      </c>
      <c r="P120" s="8">
        <v>622</v>
      </c>
      <c r="Q120" s="8">
        <v>306</v>
      </c>
      <c r="R120" s="8">
        <v>1208</v>
      </c>
      <c r="S120" s="8">
        <v>1933</v>
      </c>
      <c r="T120" s="9">
        <v>8411</v>
      </c>
      <c r="U120" s="7">
        <v>3202</v>
      </c>
      <c r="V120" s="8">
        <v>6596</v>
      </c>
      <c r="W120" s="8">
        <v>542</v>
      </c>
      <c r="X120" s="8">
        <v>1445</v>
      </c>
      <c r="Y120" s="8">
        <v>1713</v>
      </c>
      <c r="Z120" s="8">
        <v>2255</v>
      </c>
      <c r="AA120" s="8">
        <v>1003</v>
      </c>
      <c r="AB120" s="8">
        <v>2316</v>
      </c>
      <c r="AC120" s="8">
        <v>1973</v>
      </c>
      <c r="AD120" s="8">
        <v>598</v>
      </c>
      <c r="AE120" s="8">
        <v>399</v>
      </c>
      <c r="AF120" s="8">
        <v>1194</v>
      </c>
      <c r="AG120" s="8">
        <v>1820</v>
      </c>
      <c r="AH120" s="9">
        <v>8659</v>
      </c>
    </row>
    <row r="121" spans="1:34" x14ac:dyDescent="0.25">
      <c r="A121" s="7" t="s">
        <v>22</v>
      </c>
      <c r="B121" s="14" t="s">
        <v>68</v>
      </c>
      <c r="C121" s="7">
        <v>27</v>
      </c>
      <c r="D121" s="8">
        <v>55</v>
      </c>
      <c r="E121" s="42" t="s">
        <v>59</v>
      </c>
      <c r="F121" s="9">
        <v>-3.03</v>
      </c>
      <c r="G121" s="7">
        <v>3013</v>
      </c>
      <c r="H121" s="8">
        <v>6639</v>
      </c>
      <c r="I121" s="8">
        <v>608</v>
      </c>
      <c r="J121" s="8">
        <v>1620</v>
      </c>
      <c r="K121" s="8">
        <v>1653</v>
      </c>
      <c r="L121" s="8">
        <v>2089</v>
      </c>
      <c r="M121" s="8">
        <v>864</v>
      </c>
      <c r="N121" s="8">
        <v>2291</v>
      </c>
      <c r="O121" s="8">
        <v>1593</v>
      </c>
      <c r="P121" s="8">
        <v>529</v>
      </c>
      <c r="Q121" s="8">
        <v>272</v>
      </c>
      <c r="R121" s="8">
        <v>1071</v>
      </c>
      <c r="S121" s="8">
        <v>1965</v>
      </c>
      <c r="T121" s="9">
        <v>8287</v>
      </c>
      <c r="U121" s="7">
        <v>3164</v>
      </c>
      <c r="V121" s="8">
        <v>6448</v>
      </c>
      <c r="W121" s="8">
        <v>508</v>
      </c>
      <c r="X121" s="8">
        <v>1363</v>
      </c>
      <c r="Y121" s="8">
        <v>1696</v>
      </c>
      <c r="Z121" s="8">
        <v>2267</v>
      </c>
      <c r="AA121" s="8">
        <v>835</v>
      </c>
      <c r="AB121" s="8">
        <v>2539</v>
      </c>
      <c r="AC121" s="8">
        <v>1938</v>
      </c>
      <c r="AD121" s="8">
        <v>518</v>
      </c>
      <c r="AE121" s="8">
        <v>359</v>
      </c>
      <c r="AF121" s="8">
        <v>1165</v>
      </c>
      <c r="AG121" s="8">
        <v>1834</v>
      </c>
      <c r="AH121" s="9">
        <v>8532</v>
      </c>
    </row>
    <row r="122" spans="1:34" x14ac:dyDescent="0.25">
      <c r="A122" s="7" t="s">
        <v>67</v>
      </c>
      <c r="B122" s="14" t="s">
        <v>68</v>
      </c>
      <c r="C122" s="7">
        <v>41</v>
      </c>
      <c r="D122" s="8">
        <v>41</v>
      </c>
      <c r="E122" s="42" t="s">
        <v>59</v>
      </c>
      <c r="F122" s="9">
        <v>-2.4900000000000002</v>
      </c>
      <c r="G122" s="7">
        <v>2744</v>
      </c>
      <c r="H122" s="8">
        <v>6207</v>
      </c>
      <c r="I122" s="8">
        <v>311</v>
      </c>
      <c r="J122" s="8">
        <v>925</v>
      </c>
      <c r="K122" s="8">
        <v>1774</v>
      </c>
      <c r="L122" s="8">
        <v>2466</v>
      </c>
      <c r="M122" s="8">
        <v>1071</v>
      </c>
      <c r="N122" s="8">
        <v>2380</v>
      </c>
      <c r="O122" s="8">
        <v>1772</v>
      </c>
      <c r="P122" s="8">
        <v>524</v>
      </c>
      <c r="Q122" s="8">
        <v>492</v>
      </c>
      <c r="R122" s="8">
        <v>1290</v>
      </c>
      <c r="S122" s="8">
        <v>2032</v>
      </c>
      <c r="T122" s="9">
        <v>7573</v>
      </c>
      <c r="U122" s="7">
        <v>2730</v>
      </c>
      <c r="V122" s="8">
        <v>6077</v>
      </c>
      <c r="W122" s="8">
        <v>490</v>
      </c>
      <c r="X122" s="8">
        <v>1297</v>
      </c>
      <c r="Y122" s="8">
        <v>1839</v>
      </c>
      <c r="Z122" s="8">
        <v>2466</v>
      </c>
      <c r="AA122" s="8">
        <v>871</v>
      </c>
      <c r="AB122" s="8">
        <v>2237</v>
      </c>
      <c r="AC122" s="8">
        <v>1511</v>
      </c>
      <c r="AD122" s="8">
        <v>663</v>
      </c>
      <c r="AE122" s="8">
        <v>463</v>
      </c>
      <c r="AF122" s="8">
        <v>1166</v>
      </c>
      <c r="AG122" s="8">
        <v>2104</v>
      </c>
      <c r="AH122" s="9">
        <v>7789</v>
      </c>
    </row>
    <row r="123" spans="1:34" ht="15.75" thickBot="1" x14ac:dyDescent="0.3">
      <c r="A123" s="10" t="s">
        <v>26</v>
      </c>
      <c r="B123" s="15" t="s">
        <v>68</v>
      </c>
      <c r="C123" s="10">
        <v>42</v>
      </c>
      <c r="D123" s="11">
        <v>40</v>
      </c>
      <c r="E123" s="43" t="s">
        <v>58</v>
      </c>
      <c r="F123" s="12">
        <v>1.56</v>
      </c>
      <c r="G123" s="10">
        <v>2975</v>
      </c>
      <c r="H123" s="11">
        <v>6656</v>
      </c>
      <c r="I123" s="11">
        <v>497</v>
      </c>
      <c r="J123" s="11">
        <v>1394</v>
      </c>
      <c r="K123" s="11">
        <v>1889</v>
      </c>
      <c r="L123" s="11">
        <v>2496</v>
      </c>
      <c r="M123" s="11">
        <v>1035</v>
      </c>
      <c r="N123" s="11">
        <v>2344</v>
      </c>
      <c r="O123" s="11">
        <v>1523</v>
      </c>
      <c r="P123" s="11">
        <v>658</v>
      </c>
      <c r="Q123" s="11">
        <v>339</v>
      </c>
      <c r="R123" s="11">
        <v>1143</v>
      </c>
      <c r="S123" s="11">
        <v>1855</v>
      </c>
      <c r="T123" s="12">
        <v>8336</v>
      </c>
      <c r="U123" s="10">
        <v>3014</v>
      </c>
      <c r="V123" s="11">
        <v>6477</v>
      </c>
      <c r="W123" s="11">
        <v>501</v>
      </c>
      <c r="X123" s="11">
        <v>1379</v>
      </c>
      <c r="Y123" s="11">
        <v>1655</v>
      </c>
      <c r="Z123" s="11">
        <v>2222</v>
      </c>
      <c r="AA123" s="11">
        <v>964</v>
      </c>
      <c r="AB123" s="11">
        <v>2477</v>
      </c>
      <c r="AC123" s="11">
        <v>1766</v>
      </c>
      <c r="AD123" s="11">
        <v>537</v>
      </c>
      <c r="AE123" s="11">
        <v>341</v>
      </c>
      <c r="AF123" s="11">
        <v>1326</v>
      </c>
      <c r="AG123" s="11">
        <v>2075</v>
      </c>
      <c r="AH123" s="12">
        <v>8184</v>
      </c>
    </row>
    <row r="124" spans="1:34" x14ac:dyDescent="0.25">
      <c r="A124" s="4" t="s">
        <v>60</v>
      </c>
      <c r="B124" s="13" t="s">
        <v>72</v>
      </c>
      <c r="C124" s="4">
        <v>13</v>
      </c>
      <c r="D124" s="5">
        <v>69</v>
      </c>
      <c r="E124" s="41" t="s">
        <v>59</v>
      </c>
      <c r="F124" s="6">
        <v>-9.6199999999999992</v>
      </c>
      <c r="G124" s="4">
        <v>2942</v>
      </c>
      <c r="H124" s="5">
        <v>6672</v>
      </c>
      <c r="I124" s="5">
        <v>304</v>
      </c>
      <c r="J124" s="5">
        <v>973</v>
      </c>
      <c r="K124" s="5">
        <v>1417</v>
      </c>
      <c r="L124" s="5">
        <v>1994</v>
      </c>
      <c r="M124" s="5">
        <v>1100</v>
      </c>
      <c r="N124" s="5">
        <v>2335</v>
      </c>
      <c r="O124" s="5">
        <v>1614</v>
      </c>
      <c r="P124" s="5">
        <v>629</v>
      </c>
      <c r="Q124" s="5">
        <v>344</v>
      </c>
      <c r="R124" s="5">
        <v>1319</v>
      </c>
      <c r="S124" s="5">
        <v>2009</v>
      </c>
      <c r="T124" s="6">
        <v>7605</v>
      </c>
      <c r="U124" s="4">
        <v>3044</v>
      </c>
      <c r="V124" s="5">
        <v>6389</v>
      </c>
      <c r="W124" s="5">
        <v>467</v>
      </c>
      <c r="X124" s="5">
        <v>1232</v>
      </c>
      <c r="Y124" s="5">
        <v>1846</v>
      </c>
      <c r="Z124" s="5">
        <v>2396</v>
      </c>
      <c r="AA124" s="5">
        <v>902</v>
      </c>
      <c r="AB124" s="5">
        <v>2483</v>
      </c>
      <c r="AC124" s="5">
        <v>1803</v>
      </c>
      <c r="AD124" s="5">
        <v>716</v>
      </c>
      <c r="AE124" s="5">
        <v>484</v>
      </c>
      <c r="AF124" s="5">
        <v>1210</v>
      </c>
      <c r="AG124" s="5">
        <v>1777</v>
      </c>
      <c r="AH124" s="6">
        <v>8401</v>
      </c>
    </row>
    <row r="125" spans="1:34" x14ac:dyDescent="0.25">
      <c r="A125" s="7" t="s">
        <v>61</v>
      </c>
      <c r="B125" s="14" t="s">
        <v>72</v>
      </c>
      <c r="C125" s="7">
        <v>45</v>
      </c>
      <c r="D125" s="8">
        <v>37</v>
      </c>
      <c r="E125" s="42" t="s">
        <v>58</v>
      </c>
      <c r="F125" s="9">
        <v>0.34</v>
      </c>
      <c r="G125" s="7">
        <v>3046</v>
      </c>
      <c r="H125" s="8">
        <v>6511</v>
      </c>
      <c r="I125" s="8">
        <v>437</v>
      </c>
      <c r="J125" s="8">
        <v>1252</v>
      </c>
      <c r="K125" s="8">
        <v>1775</v>
      </c>
      <c r="L125" s="8">
        <v>2323</v>
      </c>
      <c r="M125" s="8">
        <v>909</v>
      </c>
      <c r="N125" s="8">
        <v>2438</v>
      </c>
      <c r="O125" s="8">
        <v>1810</v>
      </c>
      <c r="P125" s="8">
        <v>667</v>
      </c>
      <c r="Q125" s="8">
        <v>423</v>
      </c>
      <c r="R125" s="8">
        <v>1297</v>
      </c>
      <c r="S125" s="8">
        <v>2000</v>
      </c>
      <c r="T125" s="9">
        <v>8304</v>
      </c>
      <c r="U125" s="7">
        <v>2960</v>
      </c>
      <c r="V125" s="8">
        <v>6664</v>
      </c>
      <c r="W125" s="8">
        <v>488</v>
      </c>
      <c r="X125" s="8">
        <v>1370</v>
      </c>
      <c r="Y125" s="8">
        <v>1825</v>
      </c>
      <c r="Z125" s="8">
        <v>2423</v>
      </c>
      <c r="AA125" s="8">
        <v>1039</v>
      </c>
      <c r="AB125" s="8">
        <v>2427</v>
      </c>
      <c r="AC125" s="8">
        <v>1859</v>
      </c>
      <c r="AD125" s="8">
        <v>714</v>
      </c>
      <c r="AE125" s="8">
        <v>402</v>
      </c>
      <c r="AF125" s="8">
        <v>1277</v>
      </c>
      <c r="AG125" s="8">
        <v>1937</v>
      </c>
      <c r="AH125" s="9">
        <v>8233</v>
      </c>
    </row>
    <row r="126" spans="1:34" x14ac:dyDescent="0.25">
      <c r="A126" s="7" t="s">
        <v>29</v>
      </c>
      <c r="B126" s="14" t="s">
        <v>72</v>
      </c>
      <c r="C126" s="7">
        <v>18</v>
      </c>
      <c r="D126" s="8">
        <v>64</v>
      </c>
      <c r="E126" s="42" t="s">
        <v>59</v>
      </c>
      <c r="F126" s="9">
        <v>-6.16</v>
      </c>
      <c r="G126" s="7">
        <v>2961</v>
      </c>
      <c r="H126" s="8">
        <v>6859</v>
      </c>
      <c r="I126" s="8">
        <v>320</v>
      </c>
      <c r="J126" s="8">
        <v>881</v>
      </c>
      <c r="K126" s="8">
        <v>1487</v>
      </c>
      <c r="L126" s="8">
        <v>2096</v>
      </c>
      <c r="M126" s="8">
        <v>1083</v>
      </c>
      <c r="N126" s="8">
        <v>2335</v>
      </c>
      <c r="O126" s="8">
        <v>1794</v>
      </c>
      <c r="P126" s="8">
        <v>695</v>
      </c>
      <c r="Q126" s="8">
        <v>440</v>
      </c>
      <c r="R126" s="8">
        <v>1192</v>
      </c>
      <c r="S126" s="8">
        <v>1894</v>
      </c>
      <c r="T126" s="9">
        <v>7729</v>
      </c>
      <c r="U126" s="7">
        <v>3015</v>
      </c>
      <c r="V126" s="8">
        <v>6507</v>
      </c>
      <c r="W126" s="8">
        <v>442</v>
      </c>
      <c r="X126" s="8">
        <v>1224</v>
      </c>
      <c r="Y126" s="8">
        <v>1748</v>
      </c>
      <c r="Z126" s="8">
        <v>2279</v>
      </c>
      <c r="AA126" s="8">
        <v>959</v>
      </c>
      <c r="AB126" s="8">
        <v>2586</v>
      </c>
      <c r="AC126" s="8">
        <v>1768</v>
      </c>
      <c r="AD126" s="8">
        <v>624</v>
      </c>
      <c r="AE126" s="8">
        <v>446</v>
      </c>
      <c r="AF126" s="8">
        <v>1297</v>
      </c>
      <c r="AG126" s="8">
        <v>1858</v>
      </c>
      <c r="AH126" s="9">
        <v>8220</v>
      </c>
    </row>
    <row r="127" spans="1:34" x14ac:dyDescent="0.25">
      <c r="A127" s="7" t="s">
        <v>53</v>
      </c>
      <c r="B127" s="14" t="s">
        <v>72</v>
      </c>
      <c r="C127" s="7">
        <v>47</v>
      </c>
      <c r="D127" s="8">
        <v>35</v>
      </c>
      <c r="E127" s="42" t="s">
        <v>58</v>
      </c>
      <c r="F127" s="9">
        <v>0.65</v>
      </c>
      <c r="G127" s="7">
        <v>2849</v>
      </c>
      <c r="H127" s="8">
        <v>6592</v>
      </c>
      <c r="I127" s="8">
        <v>511</v>
      </c>
      <c r="J127" s="8">
        <v>1433</v>
      </c>
      <c r="K127" s="8">
        <v>1536</v>
      </c>
      <c r="L127" s="8">
        <v>2048</v>
      </c>
      <c r="M127" s="8">
        <v>1001</v>
      </c>
      <c r="N127" s="8">
        <v>2591</v>
      </c>
      <c r="O127" s="8">
        <v>1743</v>
      </c>
      <c r="P127" s="8">
        <v>576</v>
      </c>
      <c r="Q127" s="8">
        <v>369</v>
      </c>
      <c r="R127" s="8">
        <v>1371</v>
      </c>
      <c r="S127" s="8">
        <v>2028</v>
      </c>
      <c r="T127" s="9">
        <v>7745</v>
      </c>
      <c r="U127" s="7">
        <v>2763</v>
      </c>
      <c r="V127" s="8">
        <v>6548</v>
      </c>
      <c r="W127" s="8">
        <v>416</v>
      </c>
      <c r="X127" s="8">
        <v>1245</v>
      </c>
      <c r="Y127" s="8">
        <v>1716</v>
      </c>
      <c r="Z127" s="8">
        <v>2305</v>
      </c>
      <c r="AA127" s="8">
        <v>979</v>
      </c>
      <c r="AB127" s="8">
        <v>2524</v>
      </c>
      <c r="AC127" s="8">
        <v>1715</v>
      </c>
      <c r="AD127" s="8">
        <v>685</v>
      </c>
      <c r="AE127" s="8">
        <v>434</v>
      </c>
      <c r="AF127" s="8">
        <v>1272</v>
      </c>
      <c r="AG127" s="8">
        <v>1914</v>
      </c>
      <c r="AH127" s="9">
        <v>7658</v>
      </c>
    </row>
    <row r="128" spans="1:34" x14ac:dyDescent="0.25">
      <c r="A128" s="7" t="s">
        <v>69</v>
      </c>
      <c r="B128" s="14" t="s">
        <v>72</v>
      </c>
      <c r="C128" s="7">
        <v>42</v>
      </c>
      <c r="D128" s="8">
        <v>40</v>
      </c>
      <c r="E128" s="42" t="s">
        <v>59</v>
      </c>
      <c r="F128" s="9">
        <v>0.27</v>
      </c>
      <c r="G128" s="7">
        <v>2990</v>
      </c>
      <c r="H128" s="8">
        <v>6687</v>
      </c>
      <c r="I128" s="8">
        <v>300</v>
      </c>
      <c r="J128" s="8">
        <v>904</v>
      </c>
      <c r="K128" s="8">
        <v>1634</v>
      </c>
      <c r="L128" s="8">
        <v>2174</v>
      </c>
      <c r="M128" s="8">
        <v>1117</v>
      </c>
      <c r="N128" s="8">
        <v>2352</v>
      </c>
      <c r="O128" s="8">
        <v>1851</v>
      </c>
      <c r="P128" s="8">
        <v>654</v>
      </c>
      <c r="Q128" s="8">
        <v>461</v>
      </c>
      <c r="R128" s="8">
        <v>1141</v>
      </c>
      <c r="S128" s="8">
        <v>1850</v>
      </c>
      <c r="T128" s="9">
        <v>7914</v>
      </c>
      <c r="U128" s="7">
        <v>2913</v>
      </c>
      <c r="V128" s="8">
        <v>6444</v>
      </c>
      <c r="W128" s="8">
        <v>422</v>
      </c>
      <c r="X128" s="8">
        <v>1122</v>
      </c>
      <c r="Y128" s="8">
        <v>1601</v>
      </c>
      <c r="Z128" s="8">
        <v>2135</v>
      </c>
      <c r="AA128" s="8">
        <v>938</v>
      </c>
      <c r="AB128" s="8">
        <v>2324</v>
      </c>
      <c r="AC128" s="8">
        <v>1737</v>
      </c>
      <c r="AD128" s="8">
        <v>549</v>
      </c>
      <c r="AE128" s="8">
        <v>419</v>
      </c>
      <c r="AF128" s="8">
        <v>1213</v>
      </c>
      <c r="AG128" s="8">
        <v>1770</v>
      </c>
      <c r="AH128" s="9">
        <v>7849</v>
      </c>
    </row>
    <row r="129" spans="1:34" x14ac:dyDescent="0.25">
      <c r="A129" s="7" t="s">
        <v>73</v>
      </c>
      <c r="B129" s="14" t="s">
        <v>72</v>
      </c>
      <c r="C129" s="7">
        <v>58</v>
      </c>
      <c r="D129" s="8">
        <v>24</v>
      </c>
      <c r="E129" s="42" t="s">
        <v>58</v>
      </c>
      <c r="F129" s="9">
        <v>5.85</v>
      </c>
      <c r="G129" s="7">
        <v>3058</v>
      </c>
      <c r="H129" s="8">
        <v>6691</v>
      </c>
      <c r="I129" s="8">
        <v>463</v>
      </c>
      <c r="J129" s="8">
        <v>1273</v>
      </c>
      <c r="K129" s="8">
        <v>1826</v>
      </c>
      <c r="L129" s="8">
        <v>2314</v>
      </c>
      <c r="M129" s="8">
        <v>990</v>
      </c>
      <c r="N129" s="8">
        <v>2530</v>
      </c>
      <c r="O129" s="8">
        <v>1610</v>
      </c>
      <c r="P129" s="8">
        <v>708</v>
      </c>
      <c r="Q129" s="8">
        <v>461</v>
      </c>
      <c r="R129" s="8">
        <v>1102</v>
      </c>
      <c r="S129" s="8">
        <v>1827</v>
      </c>
      <c r="T129" s="9">
        <v>8405</v>
      </c>
      <c r="U129" s="7">
        <v>2941</v>
      </c>
      <c r="V129" s="8">
        <v>6712</v>
      </c>
      <c r="W129" s="8">
        <v>451</v>
      </c>
      <c r="X129" s="8">
        <v>1366</v>
      </c>
      <c r="Y129" s="8">
        <v>1601</v>
      </c>
      <c r="Z129" s="8">
        <v>2123</v>
      </c>
      <c r="AA129" s="8">
        <v>1072</v>
      </c>
      <c r="AB129" s="8">
        <v>2467</v>
      </c>
      <c r="AC129" s="8">
        <v>1714</v>
      </c>
      <c r="AD129" s="8">
        <v>584</v>
      </c>
      <c r="AE129" s="8">
        <v>399</v>
      </c>
      <c r="AF129" s="8">
        <v>1278</v>
      </c>
      <c r="AG129" s="8">
        <v>1899</v>
      </c>
      <c r="AH129" s="9">
        <v>7934</v>
      </c>
    </row>
    <row r="130" spans="1:34" x14ac:dyDescent="0.25">
      <c r="A130" s="7" t="s">
        <v>74</v>
      </c>
      <c r="B130" s="14" t="s">
        <v>72</v>
      </c>
      <c r="C130" s="7">
        <v>49</v>
      </c>
      <c r="D130" s="8">
        <v>33</v>
      </c>
      <c r="E130" s="42" t="s">
        <v>58</v>
      </c>
      <c r="F130" s="9">
        <v>2.2200000000000002</v>
      </c>
      <c r="G130" s="7">
        <v>3038</v>
      </c>
      <c r="H130" s="8">
        <v>6615</v>
      </c>
      <c r="I130" s="8">
        <v>320</v>
      </c>
      <c r="J130" s="8">
        <v>940</v>
      </c>
      <c r="K130" s="8">
        <v>1765</v>
      </c>
      <c r="L130" s="8">
        <v>2313</v>
      </c>
      <c r="M130" s="8">
        <v>967</v>
      </c>
      <c r="N130" s="8">
        <v>2473</v>
      </c>
      <c r="O130" s="8">
        <v>1958</v>
      </c>
      <c r="P130" s="8">
        <v>750</v>
      </c>
      <c r="Q130" s="8">
        <v>489</v>
      </c>
      <c r="R130" s="8">
        <v>1224</v>
      </c>
      <c r="S130" s="8">
        <v>1878</v>
      </c>
      <c r="T130" s="9">
        <v>8161</v>
      </c>
      <c r="U130" s="7">
        <v>2950</v>
      </c>
      <c r="V130" s="8">
        <v>6606</v>
      </c>
      <c r="W130" s="8">
        <v>463</v>
      </c>
      <c r="X130" s="8">
        <v>1342</v>
      </c>
      <c r="Y130" s="8">
        <v>1632</v>
      </c>
      <c r="Z130" s="8">
        <v>2189</v>
      </c>
      <c r="AA130" s="8">
        <v>975</v>
      </c>
      <c r="AB130" s="8">
        <v>2441</v>
      </c>
      <c r="AC130" s="8">
        <v>1778</v>
      </c>
      <c r="AD130" s="8">
        <v>636</v>
      </c>
      <c r="AE130" s="8">
        <v>458</v>
      </c>
      <c r="AF130" s="8">
        <v>1342</v>
      </c>
      <c r="AG130" s="8">
        <v>1960</v>
      </c>
      <c r="AH130" s="9">
        <v>7995</v>
      </c>
    </row>
    <row r="131" spans="1:34" x14ac:dyDescent="0.25">
      <c r="A131" s="7" t="s">
        <v>75</v>
      </c>
      <c r="B131" s="14" t="s">
        <v>72</v>
      </c>
      <c r="C131" s="7">
        <v>54</v>
      </c>
      <c r="D131" s="8">
        <v>28</v>
      </c>
      <c r="E131" s="42" t="s">
        <v>58</v>
      </c>
      <c r="F131" s="9">
        <v>3.31</v>
      </c>
      <c r="G131" s="7">
        <v>2851</v>
      </c>
      <c r="H131" s="8">
        <v>6421</v>
      </c>
      <c r="I131" s="8">
        <v>363</v>
      </c>
      <c r="J131" s="8">
        <v>1053</v>
      </c>
      <c r="K131" s="8">
        <v>1588</v>
      </c>
      <c r="L131" s="8">
        <v>2150</v>
      </c>
      <c r="M131" s="8">
        <v>1054</v>
      </c>
      <c r="N131" s="8">
        <v>2507</v>
      </c>
      <c r="O131" s="8">
        <v>1787</v>
      </c>
      <c r="P131" s="8">
        <v>576</v>
      </c>
      <c r="Q131" s="8">
        <v>497</v>
      </c>
      <c r="R131" s="8">
        <v>1133</v>
      </c>
      <c r="S131" s="8">
        <v>1638</v>
      </c>
      <c r="T131" s="9">
        <v>7653</v>
      </c>
      <c r="U131" s="7">
        <v>2791</v>
      </c>
      <c r="V131" s="8">
        <v>6496</v>
      </c>
      <c r="W131" s="8">
        <v>410</v>
      </c>
      <c r="X131" s="8">
        <v>1213</v>
      </c>
      <c r="Y131" s="8">
        <v>1344</v>
      </c>
      <c r="Z131" s="8">
        <v>1790</v>
      </c>
      <c r="AA131" s="8">
        <v>928</v>
      </c>
      <c r="AB131" s="8">
        <v>2321</v>
      </c>
      <c r="AC131" s="8">
        <v>1618</v>
      </c>
      <c r="AD131" s="8">
        <v>610</v>
      </c>
      <c r="AE131" s="8">
        <v>367</v>
      </c>
      <c r="AF131" s="8">
        <v>1135</v>
      </c>
      <c r="AG131" s="8">
        <v>1851</v>
      </c>
      <c r="AH131" s="9">
        <v>7336</v>
      </c>
    </row>
    <row r="132" spans="1:34" x14ac:dyDescent="0.25">
      <c r="A132" s="7" t="s">
        <v>17</v>
      </c>
      <c r="B132" s="14" t="s">
        <v>72</v>
      </c>
      <c r="C132" s="7">
        <v>34</v>
      </c>
      <c r="D132" s="8">
        <v>48</v>
      </c>
      <c r="E132" s="42" t="s">
        <v>59</v>
      </c>
      <c r="F132" s="9">
        <v>-1.74</v>
      </c>
      <c r="G132" s="7">
        <v>3029</v>
      </c>
      <c r="H132" s="8">
        <v>7039</v>
      </c>
      <c r="I132" s="8">
        <v>624</v>
      </c>
      <c r="J132" s="8">
        <v>1774</v>
      </c>
      <c r="K132" s="8">
        <v>1412</v>
      </c>
      <c r="L132" s="8">
        <v>1955</v>
      </c>
      <c r="M132" s="8">
        <v>1069</v>
      </c>
      <c r="N132" s="8">
        <v>2436</v>
      </c>
      <c r="O132" s="8">
        <v>1811</v>
      </c>
      <c r="P132" s="8">
        <v>642</v>
      </c>
      <c r="Q132" s="8">
        <v>420</v>
      </c>
      <c r="R132" s="8">
        <v>1112</v>
      </c>
      <c r="S132" s="8">
        <v>1833</v>
      </c>
      <c r="T132" s="9">
        <v>8094</v>
      </c>
      <c r="U132" s="7">
        <v>3133</v>
      </c>
      <c r="V132" s="8">
        <v>6838</v>
      </c>
      <c r="W132" s="8">
        <v>450</v>
      </c>
      <c r="X132" s="8">
        <v>1239</v>
      </c>
      <c r="Y132" s="8">
        <v>1555</v>
      </c>
      <c r="Z132" s="8">
        <v>2087</v>
      </c>
      <c r="AA132" s="8">
        <v>1057</v>
      </c>
      <c r="AB132" s="8">
        <v>2771</v>
      </c>
      <c r="AC132" s="8">
        <v>1858</v>
      </c>
      <c r="AD132" s="8">
        <v>570</v>
      </c>
      <c r="AE132" s="8">
        <v>417</v>
      </c>
      <c r="AF132" s="8">
        <v>1257</v>
      </c>
      <c r="AG132" s="8">
        <v>1782</v>
      </c>
      <c r="AH132" s="9">
        <v>8271</v>
      </c>
    </row>
    <row r="133" spans="1:34" x14ac:dyDescent="0.25">
      <c r="A133" s="7" t="s">
        <v>65</v>
      </c>
      <c r="B133" s="14" t="s">
        <v>72</v>
      </c>
      <c r="C133" s="7">
        <v>51</v>
      </c>
      <c r="D133" s="8">
        <v>31</v>
      </c>
      <c r="E133" s="42" t="s">
        <v>58</v>
      </c>
      <c r="F133" s="9">
        <v>4.26</v>
      </c>
      <c r="G133" s="7">
        <v>2846</v>
      </c>
      <c r="H133" s="8">
        <v>6419</v>
      </c>
      <c r="I133" s="8">
        <v>553</v>
      </c>
      <c r="J133" s="8">
        <v>1521</v>
      </c>
      <c r="K133" s="8">
        <v>1551</v>
      </c>
      <c r="L133" s="8">
        <v>1986</v>
      </c>
      <c r="M133" s="8">
        <v>874</v>
      </c>
      <c r="N133" s="8">
        <v>2601</v>
      </c>
      <c r="O133" s="8">
        <v>1733</v>
      </c>
      <c r="P133" s="8">
        <v>563</v>
      </c>
      <c r="Q133" s="8">
        <v>378</v>
      </c>
      <c r="R133" s="8">
        <v>1135</v>
      </c>
      <c r="S133" s="8">
        <v>1807</v>
      </c>
      <c r="T133" s="9">
        <v>7796</v>
      </c>
      <c r="U133" s="7">
        <v>2720</v>
      </c>
      <c r="V133" s="8">
        <v>6423</v>
      </c>
      <c r="W133" s="8">
        <v>454</v>
      </c>
      <c r="X133" s="8">
        <v>1343</v>
      </c>
      <c r="Y133" s="8">
        <v>1571</v>
      </c>
      <c r="Z133" s="8">
        <v>2116</v>
      </c>
      <c r="AA133" s="8">
        <v>892</v>
      </c>
      <c r="AB133" s="8">
        <v>2444</v>
      </c>
      <c r="AC133" s="8">
        <v>1696</v>
      </c>
      <c r="AD133" s="8">
        <v>607</v>
      </c>
      <c r="AE133" s="8">
        <v>335</v>
      </c>
      <c r="AF133" s="8">
        <v>1087</v>
      </c>
      <c r="AG133" s="8">
        <v>1773</v>
      </c>
      <c r="AH133" s="9">
        <v>7465</v>
      </c>
    </row>
    <row r="134" spans="1:34" x14ac:dyDescent="0.25">
      <c r="A134" s="7" t="s">
        <v>19</v>
      </c>
      <c r="B134" s="14" t="s">
        <v>72</v>
      </c>
      <c r="C134" s="7">
        <v>44</v>
      </c>
      <c r="D134" s="8">
        <v>38</v>
      </c>
      <c r="E134" s="42" t="s">
        <v>58</v>
      </c>
      <c r="F134" s="9">
        <v>0.49</v>
      </c>
      <c r="G134" s="7">
        <v>2668</v>
      </c>
      <c r="H134" s="8">
        <v>6169</v>
      </c>
      <c r="I134" s="8">
        <v>542</v>
      </c>
      <c r="J134" s="8">
        <v>1575</v>
      </c>
      <c r="K134" s="8">
        <v>1748</v>
      </c>
      <c r="L134" s="8">
        <v>2206</v>
      </c>
      <c r="M134" s="8">
        <v>868</v>
      </c>
      <c r="N134" s="8">
        <v>2418</v>
      </c>
      <c r="O134" s="8">
        <v>1489</v>
      </c>
      <c r="P134" s="8">
        <v>615</v>
      </c>
      <c r="Q134" s="8">
        <v>357</v>
      </c>
      <c r="R134" s="8">
        <v>1173</v>
      </c>
      <c r="S134" s="8">
        <v>1890</v>
      </c>
      <c r="T134" s="9">
        <v>7626</v>
      </c>
      <c r="U134" s="7">
        <v>2768</v>
      </c>
      <c r="V134" s="8">
        <v>6284</v>
      </c>
      <c r="W134" s="8">
        <v>391</v>
      </c>
      <c r="X134" s="8">
        <v>1071</v>
      </c>
      <c r="Y134" s="8">
        <v>1637</v>
      </c>
      <c r="Z134" s="8">
        <v>2202</v>
      </c>
      <c r="AA134" s="8">
        <v>972</v>
      </c>
      <c r="AB134" s="8">
        <v>2416</v>
      </c>
      <c r="AC134" s="8">
        <v>1540</v>
      </c>
      <c r="AD134" s="8">
        <v>549</v>
      </c>
      <c r="AE134" s="8">
        <v>398</v>
      </c>
      <c r="AF134" s="8">
        <v>1142</v>
      </c>
      <c r="AG134" s="8">
        <v>1883</v>
      </c>
      <c r="AH134" s="9">
        <v>7564</v>
      </c>
    </row>
    <row r="135" spans="1:34" x14ac:dyDescent="0.25">
      <c r="A135" s="7" t="s">
        <v>27</v>
      </c>
      <c r="B135" s="14" t="s">
        <v>72</v>
      </c>
      <c r="C135" s="7">
        <v>37</v>
      </c>
      <c r="D135" s="8">
        <v>45</v>
      </c>
      <c r="E135" s="42" t="s">
        <v>59</v>
      </c>
      <c r="F135" s="9">
        <v>-0.47</v>
      </c>
      <c r="G135" s="7">
        <v>2924</v>
      </c>
      <c r="H135" s="8">
        <v>6368</v>
      </c>
      <c r="I135" s="8">
        <v>231</v>
      </c>
      <c r="J135" s="8">
        <v>669</v>
      </c>
      <c r="K135" s="8">
        <v>1770</v>
      </c>
      <c r="L135" s="8">
        <v>2274</v>
      </c>
      <c r="M135" s="8">
        <v>980</v>
      </c>
      <c r="N135" s="8">
        <v>2455</v>
      </c>
      <c r="O135" s="8">
        <v>1901</v>
      </c>
      <c r="P135" s="8">
        <v>599</v>
      </c>
      <c r="Q135" s="8">
        <v>422</v>
      </c>
      <c r="R135" s="8">
        <v>1290</v>
      </c>
      <c r="S135" s="8">
        <v>1819</v>
      </c>
      <c r="T135" s="9">
        <v>7849</v>
      </c>
      <c r="U135" s="7">
        <v>2936</v>
      </c>
      <c r="V135" s="8">
        <v>6618</v>
      </c>
      <c r="W135" s="8">
        <v>485</v>
      </c>
      <c r="X135" s="8">
        <v>1317</v>
      </c>
      <c r="Y135" s="8">
        <v>1555</v>
      </c>
      <c r="Z135" s="8">
        <v>2041</v>
      </c>
      <c r="AA135" s="8">
        <v>986</v>
      </c>
      <c r="AB135" s="8">
        <v>2255</v>
      </c>
      <c r="AC135" s="8">
        <v>1732</v>
      </c>
      <c r="AD135" s="8">
        <v>638</v>
      </c>
      <c r="AE135" s="8">
        <v>393</v>
      </c>
      <c r="AF135" s="8">
        <v>1122</v>
      </c>
      <c r="AG135" s="8">
        <v>1934</v>
      </c>
      <c r="AH135" s="9">
        <v>7912</v>
      </c>
    </row>
    <row r="136" spans="1:34" x14ac:dyDescent="0.25">
      <c r="A136" s="7" t="s">
        <v>70</v>
      </c>
      <c r="B136" s="14" t="s">
        <v>72</v>
      </c>
      <c r="C136" s="7">
        <v>34</v>
      </c>
      <c r="D136" s="8">
        <v>48</v>
      </c>
      <c r="E136" s="42" t="s">
        <v>59</v>
      </c>
      <c r="F136" s="9">
        <v>-2.33</v>
      </c>
      <c r="G136" s="7">
        <v>2895</v>
      </c>
      <c r="H136" s="8">
        <v>6629</v>
      </c>
      <c r="I136" s="8">
        <v>644</v>
      </c>
      <c r="J136" s="8">
        <v>1813</v>
      </c>
      <c r="K136" s="8">
        <v>1661</v>
      </c>
      <c r="L136" s="8">
        <v>2137</v>
      </c>
      <c r="M136" s="8">
        <v>1028</v>
      </c>
      <c r="N136" s="8">
        <v>2511</v>
      </c>
      <c r="O136" s="8">
        <v>1672</v>
      </c>
      <c r="P136" s="8">
        <v>508</v>
      </c>
      <c r="Q136" s="8">
        <v>344</v>
      </c>
      <c r="R136" s="8">
        <v>1176</v>
      </c>
      <c r="S136" s="8">
        <v>1794</v>
      </c>
      <c r="T136" s="9">
        <v>8095</v>
      </c>
      <c r="U136" s="7">
        <v>3141</v>
      </c>
      <c r="V136" s="8">
        <v>6928</v>
      </c>
      <c r="W136" s="8">
        <v>549</v>
      </c>
      <c r="X136" s="8">
        <v>1522</v>
      </c>
      <c r="Y136" s="8">
        <v>1507</v>
      </c>
      <c r="Z136" s="8">
        <v>1931</v>
      </c>
      <c r="AA136" s="8">
        <v>1023</v>
      </c>
      <c r="AB136" s="8">
        <v>2453</v>
      </c>
      <c r="AC136" s="8">
        <v>2001</v>
      </c>
      <c r="AD136" s="8">
        <v>627</v>
      </c>
      <c r="AE136" s="8">
        <v>420</v>
      </c>
      <c r="AF136" s="8">
        <v>965</v>
      </c>
      <c r="AG136" s="8">
        <v>1814</v>
      </c>
      <c r="AH136" s="9">
        <v>8338</v>
      </c>
    </row>
    <row r="137" spans="1:34" x14ac:dyDescent="0.25">
      <c r="A137" s="7" t="s">
        <v>28</v>
      </c>
      <c r="B137" s="14" t="s">
        <v>72</v>
      </c>
      <c r="C137" s="7">
        <v>45</v>
      </c>
      <c r="D137" s="8">
        <v>37</v>
      </c>
      <c r="E137" s="42" t="s">
        <v>58</v>
      </c>
      <c r="F137" s="9">
        <v>2.63</v>
      </c>
      <c r="G137" s="7">
        <v>2802</v>
      </c>
      <c r="H137" s="8">
        <v>6271</v>
      </c>
      <c r="I137" s="8">
        <v>531</v>
      </c>
      <c r="J137" s="8">
        <v>1486</v>
      </c>
      <c r="K137" s="8">
        <v>1526</v>
      </c>
      <c r="L137" s="8">
        <v>2024</v>
      </c>
      <c r="M137" s="8">
        <v>887</v>
      </c>
      <c r="N137" s="8">
        <v>2307</v>
      </c>
      <c r="O137" s="8">
        <v>1716</v>
      </c>
      <c r="P137" s="8">
        <v>699</v>
      </c>
      <c r="Q137" s="8">
        <v>476</v>
      </c>
      <c r="R137" s="8">
        <v>1197</v>
      </c>
      <c r="S137" s="8">
        <v>1910</v>
      </c>
      <c r="T137" s="9">
        <v>7661</v>
      </c>
      <c r="U137" s="7">
        <v>2684</v>
      </c>
      <c r="V137" s="8">
        <v>6215</v>
      </c>
      <c r="W137" s="8">
        <v>426</v>
      </c>
      <c r="X137" s="8">
        <v>1215</v>
      </c>
      <c r="Y137" s="8">
        <v>1679</v>
      </c>
      <c r="Z137" s="8">
        <v>2179</v>
      </c>
      <c r="AA137" s="8">
        <v>993</v>
      </c>
      <c r="AB137" s="8">
        <v>2387</v>
      </c>
      <c r="AC137" s="8">
        <v>1633</v>
      </c>
      <c r="AD137" s="8">
        <v>612</v>
      </c>
      <c r="AE137" s="8">
        <v>476</v>
      </c>
      <c r="AF137" s="8">
        <v>1303</v>
      </c>
      <c r="AG137" s="8">
        <v>1853</v>
      </c>
      <c r="AH137" s="9">
        <v>7473</v>
      </c>
    </row>
    <row r="138" spans="1:34" x14ac:dyDescent="0.25">
      <c r="A138" s="7" t="s">
        <v>54</v>
      </c>
      <c r="B138" s="14" t="s">
        <v>72</v>
      </c>
      <c r="C138" s="7">
        <v>59</v>
      </c>
      <c r="D138" s="8">
        <v>23</v>
      </c>
      <c r="E138" s="42" t="s">
        <v>58</v>
      </c>
      <c r="F138" s="9">
        <v>5.76</v>
      </c>
      <c r="G138" s="7">
        <v>3097</v>
      </c>
      <c r="H138" s="8">
        <v>6368</v>
      </c>
      <c r="I138" s="8">
        <v>475</v>
      </c>
      <c r="J138" s="8">
        <v>1260</v>
      </c>
      <c r="K138" s="8">
        <v>1658</v>
      </c>
      <c r="L138" s="8">
        <v>2466</v>
      </c>
      <c r="M138" s="8">
        <v>887</v>
      </c>
      <c r="N138" s="8">
        <v>2639</v>
      </c>
      <c r="O138" s="8">
        <v>1790</v>
      </c>
      <c r="P138" s="8">
        <v>528</v>
      </c>
      <c r="Q138" s="8">
        <v>474</v>
      </c>
      <c r="R138" s="8">
        <v>1127</v>
      </c>
      <c r="S138" s="8">
        <v>1814</v>
      </c>
      <c r="T138" s="9">
        <v>8327</v>
      </c>
      <c r="U138" s="7">
        <v>2865</v>
      </c>
      <c r="V138" s="8">
        <v>6705</v>
      </c>
      <c r="W138" s="8">
        <v>441</v>
      </c>
      <c r="X138" s="8">
        <v>1269</v>
      </c>
      <c r="Y138" s="8">
        <v>1621</v>
      </c>
      <c r="Z138" s="8">
        <v>2134</v>
      </c>
      <c r="AA138" s="8">
        <v>922</v>
      </c>
      <c r="AB138" s="8">
        <v>2397</v>
      </c>
      <c r="AC138" s="8">
        <v>1620</v>
      </c>
      <c r="AD138" s="8">
        <v>611</v>
      </c>
      <c r="AE138" s="8">
        <v>264</v>
      </c>
      <c r="AF138" s="8">
        <v>1085</v>
      </c>
      <c r="AG138" s="8">
        <v>2020</v>
      </c>
      <c r="AH138" s="9">
        <v>7792</v>
      </c>
    </row>
    <row r="139" spans="1:34" x14ac:dyDescent="0.25">
      <c r="A139" s="7" t="s">
        <v>21</v>
      </c>
      <c r="B139" s="14" t="s">
        <v>72</v>
      </c>
      <c r="C139" s="7">
        <v>30</v>
      </c>
      <c r="D139" s="8">
        <v>52</v>
      </c>
      <c r="E139" s="42" t="s">
        <v>59</v>
      </c>
      <c r="F139" s="9">
        <v>-3.09</v>
      </c>
      <c r="G139" s="7">
        <v>2964</v>
      </c>
      <c r="H139" s="8">
        <v>6580</v>
      </c>
      <c r="I139" s="8">
        <v>325</v>
      </c>
      <c r="J139" s="8">
        <v>925</v>
      </c>
      <c r="K139" s="8">
        <v>1720</v>
      </c>
      <c r="L139" s="8">
        <v>2229</v>
      </c>
      <c r="M139" s="8">
        <v>985</v>
      </c>
      <c r="N139" s="8">
        <v>2405</v>
      </c>
      <c r="O139" s="8">
        <v>1720</v>
      </c>
      <c r="P139" s="8">
        <v>529</v>
      </c>
      <c r="Q139" s="8">
        <v>289</v>
      </c>
      <c r="R139" s="8">
        <v>1132</v>
      </c>
      <c r="S139" s="8">
        <v>1797</v>
      </c>
      <c r="T139" s="9">
        <v>7973</v>
      </c>
      <c r="U139" s="7">
        <v>3098</v>
      </c>
      <c r="V139" s="8">
        <v>6678</v>
      </c>
      <c r="W139" s="8">
        <v>463</v>
      </c>
      <c r="X139" s="8">
        <v>1349</v>
      </c>
      <c r="Y139" s="8">
        <v>1559</v>
      </c>
      <c r="Z139" s="8">
        <v>2022</v>
      </c>
      <c r="AA139" s="8">
        <v>935</v>
      </c>
      <c r="AB139" s="8">
        <v>2413</v>
      </c>
      <c r="AC139" s="8">
        <v>1953</v>
      </c>
      <c r="AD139" s="8">
        <v>611</v>
      </c>
      <c r="AE139" s="8">
        <v>370</v>
      </c>
      <c r="AF139" s="8">
        <v>1067</v>
      </c>
      <c r="AG139" s="8">
        <v>1953</v>
      </c>
      <c r="AH139" s="9">
        <v>8218</v>
      </c>
    </row>
    <row r="140" spans="1:34" x14ac:dyDescent="0.25">
      <c r="A140" s="7" t="s">
        <v>24</v>
      </c>
      <c r="B140" s="14" t="s">
        <v>72</v>
      </c>
      <c r="C140" s="7">
        <v>44</v>
      </c>
      <c r="D140" s="8">
        <v>38</v>
      </c>
      <c r="E140" s="42" t="s">
        <v>59</v>
      </c>
      <c r="F140" s="9">
        <v>1.73</v>
      </c>
      <c r="G140" s="7">
        <v>3045</v>
      </c>
      <c r="H140" s="8">
        <v>6629</v>
      </c>
      <c r="I140" s="8">
        <v>395</v>
      </c>
      <c r="J140" s="8">
        <v>1145</v>
      </c>
      <c r="K140" s="8">
        <v>1449</v>
      </c>
      <c r="L140" s="8">
        <v>1820</v>
      </c>
      <c r="M140" s="8">
        <v>947</v>
      </c>
      <c r="N140" s="8">
        <v>2580</v>
      </c>
      <c r="O140" s="8">
        <v>1918</v>
      </c>
      <c r="P140" s="8">
        <v>460</v>
      </c>
      <c r="Q140" s="8">
        <v>447</v>
      </c>
      <c r="R140" s="8">
        <v>1079</v>
      </c>
      <c r="S140" s="8">
        <v>1774</v>
      </c>
      <c r="T140" s="9">
        <v>7934</v>
      </c>
      <c r="U140" s="7">
        <v>2967</v>
      </c>
      <c r="V140" s="8">
        <v>6777</v>
      </c>
      <c r="W140" s="8">
        <v>468</v>
      </c>
      <c r="X140" s="8">
        <v>1291</v>
      </c>
      <c r="Y140" s="8">
        <v>1413</v>
      </c>
      <c r="Z140" s="8">
        <v>1880</v>
      </c>
      <c r="AA140" s="8">
        <v>1032</v>
      </c>
      <c r="AB140" s="8">
        <v>2359</v>
      </c>
      <c r="AC140" s="8">
        <v>1783</v>
      </c>
      <c r="AD140" s="8">
        <v>540</v>
      </c>
      <c r="AE140" s="8">
        <v>323</v>
      </c>
      <c r="AF140" s="8">
        <v>963</v>
      </c>
      <c r="AG140" s="8">
        <v>1629</v>
      </c>
      <c r="AH140" s="9">
        <v>7815</v>
      </c>
    </row>
    <row r="141" spans="1:34" x14ac:dyDescent="0.25">
      <c r="A141" s="7" t="s">
        <v>23</v>
      </c>
      <c r="B141" s="14" t="s">
        <v>72</v>
      </c>
      <c r="C141" s="7">
        <v>42</v>
      </c>
      <c r="D141" s="8">
        <v>40</v>
      </c>
      <c r="E141" s="42" t="s">
        <v>58</v>
      </c>
      <c r="F141" s="9">
        <v>-1.82</v>
      </c>
      <c r="G141" s="7">
        <v>2753</v>
      </c>
      <c r="H141" s="8">
        <v>6419</v>
      </c>
      <c r="I141" s="8">
        <v>435</v>
      </c>
      <c r="J141" s="8">
        <v>1203</v>
      </c>
      <c r="K141" s="8">
        <v>1555</v>
      </c>
      <c r="L141" s="8">
        <v>2039</v>
      </c>
      <c r="M141" s="8">
        <v>855</v>
      </c>
      <c r="N141" s="8">
        <v>2387</v>
      </c>
      <c r="O141" s="8">
        <v>1772</v>
      </c>
      <c r="P141" s="8">
        <v>650</v>
      </c>
      <c r="Q141" s="8">
        <v>308</v>
      </c>
      <c r="R141" s="8">
        <v>1164</v>
      </c>
      <c r="S141" s="8">
        <v>1985</v>
      </c>
      <c r="T141" s="9">
        <v>7496</v>
      </c>
      <c r="U141" s="7">
        <v>2710</v>
      </c>
      <c r="V141" s="8">
        <v>6167</v>
      </c>
      <c r="W141" s="8">
        <v>485</v>
      </c>
      <c r="X141" s="8">
        <v>1319</v>
      </c>
      <c r="Y141" s="8">
        <v>1714</v>
      </c>
      <c r="Z141" s="8">
        <v>2304</v>
      </c>
      <c r="AA141" s="8">
        <v>874</v>
      </c>
      <c r="AB141" s="8">
        <v>2503</v>
      </c>
      <c r="AC141" s="8">
        <v>1666</v>
      </c>
      <c r="AD141" s="8">
        <v>601</v>
      </c>
      <c r="AE141" s="8">
        <v>402</v>
      </c>
      <c r="AF141" s="8">
        <v>1283</v>
      </c>
      <c r="AG141" s="8">
        <v>1881</v>
      </c>
      <c r="AH141" s="9">
        <v>7619</v>
      </c>
    </row>
    <row r="142" spans="1:34" x14ac:dyDescent="0.25">
      <c r="A142" s="7" t="s">
        <v>71</v>
      </c>
      <c r="B142" s="14" t="s">
        <v>72</v>
      </c>
      <c r="C142" s="7">
        <v>18</v>
      </c>
      <c r="D142" s="8">
        <v>64</v>
      </c>
      <c r="E142" s="42" t="s">
        <v>59</v>
      </c>
      <c r="F142" s="9">
        <v>-6.3</v>
      </c>
      <c r="G142" s="7">
        <v>2718</v>
      </c>
      <c r="H142" s="8">
        <v>6556</v>
      </c>
      <c r="I142" s="8">
        <v>415</v>
      </c>
      <c r="J142" s="8">
        <v>1316</v>
      </c>
      <c r="K142" s="8">
        <v>1401</v>
      </c>
      <c r="L142" s="8">
        <v>1830</v>
      </c>
      <c r="M142" s="8">
        <v>1019</v>
      </c>
      <c r="N142" s="8">
        <v>2281</v>
      </c>
      <c r="O142" s="8">
        <v>1724</v>
      </c>
      <c r="P142" s="8">
        <v>550</v>
      </c>
      <c r="Q142" s="8">
        <v>310</v>
      </c>
      <c r="R142" s="8">
        <v>1217</v>
      </c>
      <c r="S142" s="8">
        <v>1883</v>
      </c>
      <c r="T142" s="9">
        <v>7252</v>
      </c>
      <c r="U142" s="7">
        <v>2847</v>
      </c>
      <c r="V142" s="8">
        <v>6299</v>
      </c>
      <c r="W142" s="8">
        <v>494</v>
      </c>
      <c r="X142" s="8">
        <v>1346</v>
      </c>
      <c r="Y142" s="8">
        <v>1644</v>
      </c>
      <c r="Z142" s="8">
        <v>2122</v>
      </c>
      <c r="AA142" s="8">
        <v>947</v>
      </c>
      <c r="AB142" s="8">
        <v>2485</v>
      </c>
      <c r="AC142" s="8">
        <v>1742</v>
      </c>
      <c r="AD142" s="8">
        <v>634</v>
      </c>
      <c r="AE142" s="8">
        <v>452</v>
      </c>
      <c r="AF142" s="8">
        <v>1168</v>
      </c>
      <c r="AG142" s="8">
        <v>1728</v>
      </c>
      <c r="AH142" s="9">
        <v>7832</v>
      </c>
    </row>
    <row r="143" spans="1:34" x14ac:dyDescent="0.25">
      <c r="A143" s="7" t="s">
        <v>18</v>
      </c>
      <c r="B143" s="14" t="s">
        <v>72</v>
      </c>
      <c r="C143" s="7">
        <v>33</v>
      </c>
      <c r="D143" s="8">
        <v>49</v>
      </c>
      <c r="E143" s="42" t="s">
        <v>59</v>
      </c>
      <c r="F143" s="9">
        <v>-2.73</v>
      </c>
      <c r="G143" s="7">
        <v>2978</v>
      </c>
      <c r="H143" s="8">
        <v>6599</v>
      </c>
      <c r="I143" s="8">
        <v>441</v>
      </c>
      <c r="J143" s="8">
        <v>1240</v>
      </c>
      <c r="K143" s="8">
        <v>1580</v>
      </c>
      <c r="L143" s="8">
        <v>2060</v>
      </c>
      <c r="M143" s="8">
        <v>965</v>
      </c>
      <c r="N143" s="8">
        <v>2393</v>
      </c>
      <c r="O143" s="8">
        <v>1665</v>
      </c>
      <c r="P143" s="8">
        <v>629</v>
      </c>
      <c r="Q143" s="8">
        <v>260</v>
      </c>
      <c r="R143" s="8">
        <v>1204</v>
      </c>
      <c r="S143" s="8">
        <v>1942</v>
      </c>
      <c r="T143" s="9">
        <v>7977</v>
      </c>
      <c r="U143" s="7">
        <v>3001</v>
      </c>
      <c r="V143" s="8">
        <v>6454</v>
      </c>
      <c r="W143" s="8">
        <v>464</v>
      </c>
      <c r="X143" s="8">
        <v>1276</v>
      </c>
      <c r="Y143" s="8">
        <v>1711</v>
      </c>
      <c r="Z143" s="8">
        <v>2264</v>
      </c>
      <c r="AA143" s="8">
        <v>969</v>
      </c>
      <c r="AB143" s="8">
        <v>2448</v>
      </c>
      <c r="AC143" s="8">
        <v>1697</v>
      </c>
      <c r="AD143" s="8">
        <v>602</v>
      </c>
      <c r="AE143" s="8">
        <v>389</v>
      </c>
      <c r="AF143" s="8">
        <v>1195</v>
      </c>
      <c r="AG143" s="8">
        <v>1736</v>
      </c>
      <c r="AH143" s="9">
        <v>8177</v>
      </c>
    </row>
    <row r="144" spans="1:34" x14ac:dyDescent="0.25">
      <c r="A144" s="7" t="s">
        <v>66</v>
      </c>
      <c r="B144" s="14" t="s">
        <v>72</v>
      </c>
      <c r="C144" s="7">
        <v>36</v>
      </c>
      <c r="D144" s="8">
        <v>46</v>
      </c>
      <c r="E144" s="42" t="s">
        <v>59</v>
      </c>
      <c r="F144" s="9">
        <v>-2.52</v>
      </c>
      <c r="G144" s="7">
        <v>3034</v>
      </c>
      <c r="H144" s="8">
        <v>6679</v>
      </c>
      <c r="I144" s="8">
        <v>320</v>
      </c>
      <c r="J144" s="8">
        <v>916</v>
      </c>
      <c r="K144" s="8">
        <v>1772</v>
      </c>
      <c r="L144" s="8">
        <v>2335</v>
      </c>
      <c r="M144" s="8">
        <v>1038</v>
      </c>
      <c r="N144" s="8">
        <v>2544</v>
      </c>
      <c r="O144" s="8">
        <v>1583</v>
      </c>
      <c r="P144" s="8">
        <v>633</v>
      </c>
      <c r="Q144" s="8">
        <v>441</v>
      </c>
      <c r="R144" s="8">
        <v>1322</v>
      </c>
      <c r="S144" s="8">
        <v>1937</v>
      </c>
      <c r="T144" s="9">
        <v>8160</v>
      </c>
      <c r="U144" s="7">
        <v>3081</v>
      </c>
      <c r="V144" s="8">
        <v>6826</v>
      </c>
      <c r="W144" s="8">
        <v>443</v>
      </c>
      <c r="X144" s="8">
        <v>1291</v>
      </c>
      <c r="Y144" s="8">
        <v>1739</v>
      </c>
      <c r="Z144" s="8">
        <v>2306</v>
      </c>
      <c r="AA144" s="8">
        <v>1024</v>
      </c>
      <c r="AB144" s="8">
        <v>2428</v>
      </c>
      <c r="AC144" s="8">
        <v>1747</v>
      </c>
      <c r="AD144" s="8">
        <v>698</v>
      </c>
      <c r="AE144" s="8">
        <v>354</v>
      </c>
      <c r="AF144" s="8">
        <v>1190</v>
      </c>
      <c r="AG144" s="8">
        <v>1920</v>
      </c>
      <c r="AH144" s="9">
        <v>8344</v>
      </c>
    </row>
    <row r="145" spans="1:34" x14ac:dyDescent="0.25">
      <c r="A145" s="7" t="s">
        <v>63</v>
      </c>
      <c r="B145" s="14" t="s">
        <v>72</v>
      </c>
      <c r="C145" s="7">
        <v>43</v>
      </c>
      <c r="D145" s="8">
        <v>39</v>
      </c>
      <c r="E145" s="42" t="s">
        <v>58</v>
      </c>
      <c r="F145" s="9">
        <v>-1.08</v>
      </c>
      <c r="G145" s="7">
        <v>2946</v>
      </c>
      <c r="H145" s="8">
        <v>6736</v>
      </c>
      <c r="I145" s="8">
        <v>505</v>
      </c>
      <c r="J145" s="8">
        <v>1453</v>
      </c>
      <c r="K145" s="8">
        <v>1731</v>
      </c>
      <c r="L145" s="8">
        <v>2194</v>
      </c>
      <c r="M145" s="8">
        <v>909</v>
      </c>
      <c r="N145" s="8">
        <v>2536</v>
      </c>
      <c r="O145" s="8">
        <v>1710</v>
      </c>
      <c r="P145" s="8">
        <v>756</v>
      </c>
      <c r="Q145" s="8">
        <v>321</v>
      </c>
      <c r="R145" s="8">
        <v>1274</v>
      </c>
      <c r="S145" s="8">
        <v>1878</v>
      </c>
      <c r="T145" s="9">
        <v>8128</v>
      </c>
      <c r="U145" s="7">
        <v>2930</v>
      </c>
      <c r="V145" s="8">
        <v>6618</v>
      </c>
      <c r="W145" s="8">
        <v>565</v>
      </c>
      <c r="X145" s="8">
        <v>1560</v>
      </c>
      <c r="Y145" s="8">
        <v>1764</v>
      </c>
      <c r="Z145" s="8">
        <v>2299</v>
      </c>
      <c r="AA145" s="8">
        <v>952</v>
      </c>
      <c r="AB145" s="8">
        <v>2663</v>
      </c>
      <c r="AC145" s="8">
        <v>1878</v>
      </c>
      <c r="AD145" s="8">
        <v>681</v>
      </c>
      <c r="AE145" s="8">
        <v>383</v>
      </c>
      <c r="AF145" s="8">
        <v>1394</v>
      </c>
      <c r="AG145" s="8">
        <v>1929</v>
      </c>
      <c r="AH145" s="9">
        <v>8189</v>
      </c>
    </row>
    <row r="146" spans="1:34" x14ac:dyDescent="0.25">
      <c r="A146" s="7" t="s">
        <v>16</v>
      </c>
      <c r="B146" s="14" t="s">
        <v>72</v>
      </c>
      <c r="C146" s="7">
        <v>62</v>
      </c>
      <c r="D146" s="8">
        <v>20</v>
      </c>
      <c r="E146" s="42" t="s">
        <v>58</v>
      </c>
      <c r="F146" s="9">
        <v>7.08</v>
      </c>
      <c r="G146" s="7">
        <v>3351</v>
      </c>
      <c r="H146" s="8">
        <v>7018</v>
      </c>
      <c r="I146" s="8">
        <v>796</v>
      </c>
      <c r="J146" s="8">
        <v>2026</v>
      </c>
      <c r="K146" s="8">
        <v>1556</v>
      </c>
      <c r="L146" s="8">
        <v>2080</v>
      </c>
      <c r="M146" s="8">
        <v>967</v>
      </c>
      <c r="N146" s="8">
        <v>2652</v>
      </c>
      <c r="O146" s="8">
        <v>1927</v>
      </c>
      <c r="P146" s="8">
        <v>572</v>
      </c>
      <c r="Q146" s="8">
        <v>453</v>
      </c>
      <c r="R146" s="8">
        <v>1125</v>
      </c>
      <c r="S146" s="8">
        <v>1563</v>
      </c>
      <c r="T146" s="9">
        <v>9054</v>
      </c>
      <c r="U146" s="7">
        <v>3328</v>
      </c>
      <c r="V146" s="8">
        <v>7485</v>
      </c>
      <c r="W146" s="8">
        <v>494</v>
      </c>
      <c r="X146" s="8">
        <v>1476</v>
      </c>
      <c r="Y146" s="8">
        <v>1320</v>
      </c>
      <c r="Z146" s="8">
        <v>1775</v>
      </c>
      <c r="AA146" s="8">
        <v>1233</v>
      </c>
      <c r="AB146" s="8">
        <v>2550</v>
      </c>
      <c r="AC146" s="8">
        <v>1741</v>
      </c>
      <c r="AD146" s="8">
        <v>627</v>
      </c>
      <c r="AE146" s="8">
        <v>342</v>
      </c>
      <c r="AF146" s="8">
        <v>1131</v>
      </c>
      <c r="AG146" s="8">
        <v>1750</v>
      </c>
      <c r="AH146" s="9">
        <v>8470</v>
      </c>
    </row>
    <row r="147" spans="1:34" x14ac:dyDescent="0.25">
      <c r="A147" s="7" t="s">
        <v>55</v>
      </c>
      <c r="B147" s="14" t="s">
        <v>72</v>
      </c>
      <c r="C147" s="7">
        <v>27</v>
      </c>
      <c r="D147" s="8">
        <v>55</v>
      </c>
      <c r="E147" s="42" t="s">
        <v>59</v>
      </c>
      <c r="F147" s="9">
        <v>-3.45</v>
      </c>
      <c r="G147" s="7">
        <v>2896</v>
      </c>
      <c r="H147" s="8">
        <v>6422</v>
      </c>
      <c r="I147" s="8">
        <v>420</v>
      </c>
      <c r="J147" s="8">
        <v>1161</v>
      </c>
      <c r="K147" s="8">
        <v>1409</v>
      </c>
      <c r="L147" s="8">
        <v>1944</v>
      </c>
      <c r="M147" s="8">
        <v>970</v>
      </c>
      <c r="N147" s="8">
        <v>2404</v>
      </c>
      <c r="O147" s="8">
        <v>1722</v>
      </c>
      <c r="P147" s="8">
        <v>583</v>
      </c>
      <c r="Q147" s="8">
        <v>544</v>
      </c>
      <c r="R147" s="8">
        <v>1308</v>
      </c>
      <c r="S147" s="8">
        <v>1703</v>
      </c>
      <c r="T147" s="9">
        <v>7621</v>
      </c>
      <c r="U147" s="7">
        <v>3056</v>
      </c>
      <c r="V147" s="8">
        <v>6842</v>
      </c>
      <c r="W147" s="8">
        <v>440</v>
      </c>
      <c r="X147" s="8">
        <v>1283</v>
      </c>
      <c r="Y147" s="8">
        <v>1397</v>
      </c>
      <c r="Z147" s="8">
        <v>1851</v>
      </c>
      <c r="AA147" s="8">
        <v>1149</v>
      </c>
      <c r="AB147" s="8">
        <v>2312</v>
      </c>
      <c r="AC147" s="8">
        <v>1923</v>
      </c>
      <c r="AD147" s="8">
        <v>700</v>
      </c>
      <c r="AE147" s="8">
        <v>414</v>
      </c>
      <c r="AF147" s="8">
        <v>1102</v>
      </c>
      <c r="AG147" s="8">
        <v>1670</v>
      </c>
      <c r="AH147" s="9">
        <v>7949</v>
      </c>
    </row>
    <row r="148" spans="1:34" x14ac:dyDescent="0.25">
      <c r="A148" s="7" t="s">
        <v>20</v>
      </c>
      <c r="B148" s="14" t="s">
        <v>72</v>
      </c>
      <c r="C148" s="7">
        <v>50</v>
      </c>
      <c r="D148" s="8">
        <v>32</v>
      </c>
      <c r="E148" s="42" t="s">
        <v>58</v>
      </c>
      <c r="F148" s="9">
        <v>2.5499999999999998</v>
      </c>
      <c r="G148" s="7">
        <v>3203</v>
      </c>
      <c r="H148" s="8">
        <v>6978</v>
      </c>
      <c r="I148" s="8">
        <v>522</v>
      </c>
      <c r="J148" s="8">
        <v>1396</v>
      </c>
      <c r="K148" s="8">
        <v>1577</v>
      </c>
      <c r="L148" s="8">
        <v>2004</v>
      </c>
      <c r="M148" s="8">
        <v>1023</v>
      </c>
      <c r="N148" s="8">
        <v>2455</v>
      </c>
      <c r="O148" s="8">
        <v>2005</v>
      </c>
      <c r="P148" s="8">
        <v>674</v>
      </c>
      <c r="Q148" s="8">
        <v>316</v>
      </c>
      <c r="R148" s="8">
        <v>1073</v>
      </c>
      <c r="S148" s="8">
        <v>1685</v>
      </c>
      <c r="T148" s="9">
        <v>8505</v>
      </c>
      <c r="U148" s="7">
        <v>3186</v>
      </c>
      <c r="V148" s="8">
        <v>6941</v>
      </c>
      <c r="W148" s="8">
        <v>471</v>
      </c>
      <c r="X148" s="8">
        <v>1318</v>
      </c>
      <c r="Y148" s="8">
        <v>1485</v>
      </c>
      <c r="Z148" s="8">
        <v>2011</v>
      </c>
      <c r="AA148" s="8">
        <v>1102</v>
      </c>
      <c r="AB148" s="8">
        <v>2532</v>
      </c>
      <c r="AC148" s="8">
        <v>1766</v>
      </c>
      <c r="AD148" s="8">
        <v>622</v>
      </c>
      <c r="AE148" s="8">
        <v>365</v>
      </c>
      <c r="AF148" s="8">
        <v>1204</v>
      </c>
      <c r="AG148" s="8">
        <v>1762</v>
      </c>
      <c r="AH148" s="9">
        <v>8328</v>
      </c>
    </row>
    <row r="149" spans="1:34" x14ac:dyDescent="0.25">
      <c r="A149" s="7" t="s">
        <v>76</v>
      </c>
      <c r="B149" s="14" t="s">
        <v>72</v>
      </c>
      <c r="C149" s="7">
        <v>59</v>
      </c>
      <c r="D149" s="8">
        <v>23</v>
      </c>
      <c r="E149" s="42" t="s">
        <v>58</v>
      </c>
      <c r="F149" s="9">
        <v>7.84</v>
      </c>
      <c r="G149" s="7">
        <v>2923</v>
      </c>
      <c r="H149" s="8">
        <v>6450</v>
      </c>
      <c r="I149" s="8">
        <v>507</v>
      </c>
      <c r="J149" s="8">
        <v>1395</v>
      </c>
      <c r="K149" s="8">
        <v>1535</v>
      </c>
      <c r="L149" s="8">
        <v>2120</v>
      </c>
      <c r="M149" s="8">
        <v>987</v>
      </c>
      <c r="N149" s="8">
        <v>2489</v>
      </c>
      <c r="O149" s="8">
        <v>1771</v>
      </c>
      <c r="P149" s="8">
        <v>613</v>
      </c>
      <c r="Q149" s="8">
        <v>543</v>
      </c>
      <c r="R149" s="8">
        <v>1126</v>
      </c>
      <c r="S149" s="8">
        <v>1717</v>
      </c>
      <c r="T149" s="9">
        <v>7888</v>
      </c>
      <c r="U149" s="7">
        <v>2712</v>
      </c>
      <c r="V149" s="8">
        <v>6359</v>
      </c>
      <c r="W149" s="8">
        <v>323</v>
      </c>
      <c r="X149" s="8">
        <v>881</v>
      </c>
      <c r="Y149" s="8">
        <v>1501</v>
      </c>
      <c r="Z149" s="8">
        <v>1955</v>
      </c>
      <c r="AA149" s="8">
        <v>893</v>
      </c>
      <c r="AB149" s="8">
        <v>2403</v>
      </c>
      <c r="AC149" s="8">
        <v>1385</v>
      </c>
      <c r="AD149" s="8">
        <v>594</v>
      </c>
      <c r="AE149" s="8">
        <v>421</v>
      </c>
      <c r="AF149" s="8">
        <v>1240</v>
      </c>
      <c r="AG149" s="8">
        <v>1891</v>
      </c>
      <c r="AH149" s="9">
        <v>7248</v>
      </c>
    </row>
    <row r="150" spans="1:34" x14ac:dyDescent="0.25">
      <c r="A150" s="7" t="s">
        <v>56</v>
      </c>
      <c r="B150" s="14" t="s">
        <v>72</v>
      </c>
      <c r="C150" s="7">
        <v>52</v>
      </c>
      <c r="D150" s="8">
        <v>30</v>
      </c>
      <c r="E150" s="42" t="s">
        <v>58</v>
      </c>
      <c r="F150" s="9">
        <v>2.59</v>
      </c>
      <c r="G150" s="7">
        <v>2882</v>
      </c>
      <c r="H150" s="8">
        <v>6498</v>
      </c>
      <c r="I150" s="8">
        <v>666</v>
      </c>
      <c r="J150" s="8">
        <v>1824</v>
      </c>
      <c r="K150" s="8">
        <v>1683</v>
      </c>
      <c r="L150" s="8">
        <v>2131</v>
      </c>
      <c r="M150" s="8">
        <v>1041</v>
      </c>
      <c r="N150" s="8">
        <v>2311</v>
      </c>
      <c r="O150" s="8">
        <v>1487</v>
      </c>
      <c r="P150" s="8">
        <v>553</v>
      </c>
      <c r="Q150" s="8">
        <v>338</v>
      </c>
      <c r="R150" s="8">
        <v>1113</v>
      </c>
      <c r="S150" s="8">
        <v>1944</v>
      </c>
      <c r="T150" s="9">
        <v>8113</v>
      </c>
      <c r="U150" s="7">
        <v>2932</v>
      </c>
      <c r="V150" s="8">
        <v>6382</v>
      </c>
      <c r="W150" s="8">
        <v>470</v>
      </c>
      <c r="X150" s="8">
        <v>1317</v>
      </c>
      <c r="Y150" s="8">
        <v>1591</v>
      </c>
      <c r="Z150" s="8">
        <v>2124</v>
      </c>
      <c r="AA150" s="8">
        <v>930</v>
      </c>
      <c r="AB150" s="8">
        <v>2174</v>
      </c>
      <c r="AC150" s="8">
        <v>1698</v>
      </c>
      <c r="AD150" s="8">
        <v>508</v>
      </c>
      <c r="AE150" s="8">
        <v>390</v>
      </c>
      <c r="AF150" s="8">
        <v>1085</v>
      </c>
      <c r="AG150" s="8">
        <v>1949</v>
      </c>
      <c r="AH150" s="9">
        <v>7925</v>
      </c>
    </row>
    <row r="151" spans="1:34" x14ac:dyDescent="0.25">
      <c r="A151" s="7" t="s">
        <v>22</v>
      </c>
      <c r="B151" s="14" t="s">
        <v>72</v>
      </c>
      <c r="C151" s="7">
        <v>33</v>
      </c>
      <c r="D151" s="8">
        <v>49</v>
      </c>
      <c r="E151" s="42" t="s">
        <v>59</v>
      </c>
      <c r="F151" s="9">
        <v>-1.81</v>
      </c>
      <c r="G151" s="7">
        <v>2952</v>
      </c>
      <c r="H151" s="8">
        <v>6656</v>
      </c>
      <c r="I151" s="8">
        <v>648</v>
      </c>
      <c r="J151" s="8">
        <v>1681</v>
      </c>
      <c r="K151" s="8">
        <v>1626</v>
      </c>
      <c r="L151" s="8">
        <v>2101</v>
      </c>
      <c r="M151" s="8">
        <v>844</v>
      </c>
      <c r="N151" s="8">
        <v>2444</v>
      </c>
      <c r="O151" s="8">
        <v>1670</v>
      </c>
      <c r="P151" s="8">
        <v>621</v>
      </c>
      <c r="Q151" s="8">
        <v>317</v>
      </c>
      <c r="R151" s="8">
        <v>1087</v>
      </c>
      <c r="S151" s="8">
        <v>1876</v>
      </c>
      <c r="T151" s="9">
        <v>8178</v>
      </c>
      <c r="U151" s="7">
        <v>3133</v>
      </c>
      <c r="V151" s="8">
        <v>6708</v>
      </c>
      <c r="W151" s="8">
        <v>435</v>
      </c>
      <c r="X151" s="8">
        <v>1222</v>
      </c>
      <c r="Y151" s="8">
        <v>1610</v>
      </c>
      <c r="Z151" s="8">
        <v>2165</v>
      </c>
      <c r="AA151" s="8">
        <v>991</v>
      </c>
      <c r="AB151" s="8">
        <v>2720</v>
      </c>
      <c r="AC151" s="8">
        <v>1814</v>
      </c>
      <c r="AD151" s="8">
        <v>507</v>
      </c>
      <c r="AE151" s="8">
        <v>360</v>
      </c>
      <c r="AF151" s="8">
        <v>1182</v>
      </c>
      <c r="AG151" s="8">
        <v>1795</v>
      </c>
      <c r="AH151" s="9">
        <v>8311</v>
      </c>
    </row>
    <row r="152" spans="1:34" x14ac:dyDescent="0.25">
      <c r="A152" s="7" t="s">
        <v>67</v>
      </c>
      <c r="B152" s="14" t="s">
        <v>72</v>
      </c>
      <c r="C152" s="7">
        <v>26</v>
      </c>
      <c r="D152" s="8">
        <v>56</v>
      </c>
      <c r="E152" s="42" t="s">
        <v>59</v>
      </c>
      <c r="F152" s="9">
        <v>-3.74</v>
      </c>
      <c r="G152" s="7">
        <v>2828</v>
      </c>
      <c r="H152" s="8">
        <v>6301</v>
      </c>
      <c r="I152" s="8">
        <v>250</v>
      </c>
      <c r="J152" s="8">
        <v>762</v>
      </c>
      <c r="K152" s="8">
        <v>1719</v>
      </c>
      <c r="L152" s="8">
        <v>2272</v>
      </c>
      <c r="M152" s="8">
        <v>1047</v>
      </c>
      <c r="N152" s="8">
        <v>2243</v>
      </c>
      <c r="O152" s="8">
        <v>1826</v>
      </c>
      <c r="P152" s="8">
        <v>541</v>
      </c>
      <c r="Q152" s="8">
        <v>374</v>
      </c>
      <c r="R152" s="8">
        <v>1292</v>
      </c>
      <c r="S152" s="8">
        <v>2189</v>
      </c>
      <c r="T152" s="9">
        <v>7625</v>
      </c>
      <c r="U152" s="7">
        <v>2731</v>
      </c>
      <c r="V152" s="8">
        <v>5965</v>
      </c>
      <c r="W152" s="8">
        <v>486</v>
      </c>
      <c r="X152" s="8">
        <v>1297</v>
      </c>
      <c r="Y152" s="8">
        <v>2027</v>
      </c>
      <c r="Z152" s="8">
        <v>2653</v>
      </c>
      <c r="AA152" s="8">
        <v>859</v>
      </c>
      <c r="AB152" s="8">
        <v>2230</v>
      </c>
      <c r="AC152" s="8">
        <v>1592</v>
      </c>
      <c r="AD152" s="8">
        <v>646</v>
      </c>
      <c r="AE152" s="8">
        <v>474</v>
      </c>
      <c r="AF152" s="8">
        <v>1182</v>
      </c>
      <c r="AG152" s="8">
        <v>2058</v>
      </c>
      <c r="AH152" s="9">
        <v>7975</v>
      </c>
    </row>
    <row r="153" spans="1:34" ht="15.75" thickBot="1" x14ac:dyDescent="0.3">
      <c r="A153" s="10" t="s">
        <v>26</v>
      </c>
      <c r="B153" s="15" t="s">
        <v>72</v>
      </c>
      <c r="C153" s="10">
        <v>45</v>
      </c>
      <c r="D153" s="11">
        <v>37</v>
      </c>
      <c r="E153" s="43" t="s">
        <v>58</v>
      </c>
      <c r="F153" s="12">
        <v>-0.72</v>
      </c>
      <c r="G153" s="10">
        <v>2966</v>
      </c>
      <c r="H153" s="11">
        <v>6794</v>
      </c>
      <c r="I153" s="11">
        <v>514</v>
      </c>
      <c r="J153" s="11">
        <v>1498</v>
      </c>
      <c r="K153" s="11">
        <v>1795</v>
      </c>
      <c r="L153" s="11">
        <v>2476</v>
      </c>
      <c r="M153" s="11">
        <v>1133</v>
      </c>
      <c r="N153" s="11">
        <v>2374</v>
      </c>
      <c r="O153" s="11">
        <v>1563</v>
      </c>
      <c r="P153" s="11">
        <v>716</v>
      </c>
      <c r="Q153" s="11">
        <v>347</v>
      </c>
      <c r="R153" s="11">
        <v>1172</v>
      </c>
      <c r="S153" s="11">
        <v>1807</v>
      </c>
      <c r="T153" s="12">
        <v>8241</v>
      </c>
      <c r="U153" s="10">
        <v>3099</v>
      </c>
      <c r="V153" s="11">
        <v>6748</v>
      </c>
      <c r="W153" s="11">
        <v>521</v>
      </c>
      <c r="X153" s="11">
        <v>1432</v>
      </c>
      <c r="Y153" s="11">
        <v>1549</v>
      </c>
      <c r="Z153" s="11">
        <v>2034</v>
      </c>
      <c r="AA153" s="11">
        <v>1017</v>
      </c>
      <c r="AB153" s="11">
        <v>2510</v>
      </c>
      <c r="AC153" s="11">
        <v>1885</v>
      </c>
      <c r="AD153" s="11">
        <v>586</v>
      </c>
      <c r="AE153" s="11">
        <v>412</v>
      </c>
      <c r="AF153" s="11">
        <v>1306</v>
      </c>
      <c r="AG153" s="11">
        <v>1995</v>
      </c>
      <c r="AH153" s="12">
        <v>8268</v>
      </c>
    </row>
  </sheetData>
  <sortState ref="A39:S68">
    <sortCondition ref="C39"/>
  </sortState>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3"/>
  <sheetViews>
    <sheetView workbookViewId="0"/>
  </sheetViews>
  <sheetFormatPr defaultColWidth="30.7109375" defaultRowHeight="15" x14ac:dyDescent="0.25"/>
  <cols>
    <col min="1" max="1" width="30.7109375" style="23"/>
    <col min="2" max="16384" width="30.7109375" style="22"/>
  </cols>
  <sheetData>
    <row r="1" spans="1:20" x14ac:dyDescent="0.25">
      <c r="A1" s="23" t="s">
        <v>86</v>
      </c>
      <c r="B1" s="22" t="s">
        <v>87</v>
      </c>
      <c r="C1" s="22" t="s">
        <v>77</v>
      </c>
      <c r="D1" s="22">
        <v>5</v>
      </c>
      <c r="E1" s="22" t="s">
        <v>78</v>
      </c>
      <c r="F1" s="22">
        <v>5</v>
      </c>
      <c r="G1" s="22" t="s">
        <v>79</v>
      </c>
      <c r="H1" s="22">
        <v>0</v>
      </c>
      <c r="I1" s="22" t="s">
        <v>80</v>
      </c>
      <c r="J1" s="22">
        <v>1</v>
      </c>
      <c r="K1" s="22" t="s">
        <v>81</v>
      </c>
      <c r="L1" s="22">
        <v>0</v>
      </c>
      <c r="M1" s="22" t="s">
        <v>82</v>
      </c>
      <c r="N1" s="22">
        <v>0</v>
      </c>
      <c r="O1" s="22" t="s">
        <v>83</v>
      </c>
      <c r="P1" s="22">
        <v>1</v>
      </c>
      <c r="Q1" s="22" t="s">
        <v>84</v>
      </c>
      <c r="R1" s="22">
        <v>0</v>
      </c>
      <c r="S1" s="22" t="s">
        <v>85</v>
      </c>
      <c r="T1" s="22">
        <v>0</v>
      </c>
    </row>
    <row r="2" spans="1:20" x14ac:dyDescent="0.25">
      <c r="A2" s="23" t="s">
        <v>88</v>
      </c>
      <c r="B2" s="22" t="s">
        <v>89</v>
      </c>
    </row>
    <row r="3" spans="1:20" x14ac:dyDescent="0.25">
      <c r="A3" s="23" t="s">
        <v>90</v>
      </c>
      <c r="B3" s="22" t="b">
        <f>IF(B10&gt;256,"TripUpST110AndEarlier",FALSE)</f>
        <v>0</v>
      </c>
    </row>
    <row r="4" spans="1:20" x14ac:dyDescent="0.25">
      <c r="A4" s="23" t="s">
        <v>91</v>
      </c>
      <c r="B4" s="22" t="s">
        <v>92</v>
      </c>
    </row>
    <row r="5" spans="1:20" x14ac:dyDescent="0.25">
      <c r="A5" s="23" t="s">
        <v>93</v>
      </c>
      <c r="B5" s="22" t="b">
        <v>1</v>
      </c>
    </row>
    <row r="6" spans="1:20" x14ac:dyDescent="0.25">
      <c r="A6" s="23" t="s">
        <v>94</v>
      </c>
      <c r="B6" s="22" t="b">
        <v>1</v>
      </c>
    </row>
    <row r="7" spans="1:20" x14ac:dyDescent="0.25">
      <c r="A7" s="23" t="s">
        <v>95</v>
      </c>
      <c r="B7" s="22" t="str">
        <f>Data!$A$3:$AH$153</f>
        <v>2008-2009</v>
      </c>
    </row>
    <row r="8" spans="1:20" x14ac:dyDescent="0.25">
      <c r="A8" s="23" t="s">
        <v>96</v>
      </c>
      <c r="B8" s="22">
        <v>1</v>
      </c>
    </row>
    <row r="9" spans="1:20" x14ac:dyDescent="0.25">
      <c r="A9" s="23" t="s">
        <v>97</v>
      </c>
      <c r="B9" s="22">
        <f>1</f>
        <v>1</v>
      </c>
    </row>
    <row r="10" spans="1:20" x14ac:dyDescent="0.25">
      <c r="A10" s="23" t="s">
        <v>98</v>
      </c>
      <c r="B10" s="22">
        <v>34</v>
      </c>
    </row>
    <row r="12" spans="1:20" x14ac:dyDescent="0.25">
      <c r="A12" s="23" t="s">
        <v>99</v>
      </c>
      <c r="B12" s="22" t="s">
        <v>100</v>
      </c>
      <c r="C12" s="22" t="s">
        <v>101</v>
      </c>
      <c r="D12" s="22" t="s">
        <v>102</v>
      </c>
      <c r="E12" s="22" t="b">
        <v>1</v>
      </c>
      <c r="F12" s="22">
        <v>0</v>
      </c>
      <c r="G12" s="22">
        <v>4</v>
      </c>
    </row>
    <row r="13" spans="1:20" x14ac:dyDescent="0.25">
      <c r="A13" s="23" t="s">
        <v>103</v>
      </c>
      <c r="B13" s="22" t="str">
        <f>Data!$A$3:$A$153</f>
        <v>Houston Rockets</v>
      </c>
    </row>
    <row r="14" spans="1:20" x14ac:dyDescent="0.25">
      <c r="A14" s="23" t="s">
        <v>104</v>
      </c>
    </row>
    <row r="15" spans="1:20" x14ac:dyDescent="0.25">
      <c r="A15" s="23" t="s">
        <v>105</v>
      </c>
      <c r="B15" s="22" t="s">
        <v>106</v>
      </c>
      <c r="C15" s="22" t="s">
        <v>107</v>
      </c>
      <c r="D15" s="22" t="s">
        <v>108</v>
      </c>
      <c r="E15" s="22" t="b">
        <v>1</v>
      </c>
      <c r="F15" s="22">
        <v>0</v>
      </c>
      <c r="G15" s="22">
        <v>4</v>
      </c>
    </row>
    <row r="16" spans="1:20" x14ac:dyDescent="0.25">
      <c r="A16" s="23" t="s">
        <v>109</v>
      </c>
      <c r="B16" s="22" t="str">
        <f>Data!$B$3:$B$153</f>
        <v>2008-2009</v>
      </c>
    </row>
    <row r="17" spans="1:7" x14ac:dyDescent="0.25">
      <c r="A17" s="23" t="s">
        <v>110</v>
      </c>
    </row>
    <row r="18" spans="1:7" x14ac:dyDescent="0.25">
      <c r="A18" s="23" t="s">
        <v>111</v>
      </c>
      <c r="B18" s="22" t="s">
        <v>112</v>
      </c>
      <c r="C18" s="22" t="s">
        <v>113</v>
      </c>
      <c r="D18" s="22" t="s">
        <v>114</v>
      </c>
      <c r="E18" s="22" t="b">
        <v>1</v>
      </c>
      <c r="F18" s="22">
        <v>0</v>
      </c>
      <c r="G18" s="22">
        <v>4</v>
      </c>
    </row>
    <row r="19" spans="1:7" x14ac:dyDescent="0.25">
      <c r="A19" s="23" t="s">
        <v>115</v>
      </c>
      <c r="B19" s="22">
        <f>Data!$C$3:$C$153</f>
        <v>34</v>
      </c>
    </row>
    <row r="20" spans="1:7" x14ac:dyDescent="0.25">
      <c r="A20" s="23" t="s">
        <v>116</v>
      </c>
    </row>
    <row r="21" spans="1:7" x14ac:dyDescent="0.25">
      <c r="A21" s="23" t="s">
        <v>117</v>
      </c>
      <c r="B21" s="22" t="s">
        <v>118</v>
      </c>
      <c r="C21" s="22" t="s">
        <v>119</v>
      </c>
      <c r="D21" s="22" t="s">
        <v>120</v>
      </c>
      <c r="E21" s="22" t="b">
        <v>1</v>
      </c>
      <c r="F21" s="22">
        <v>0</v>
      </c>
      <c r="G21" s="22">
        <v>4</v>
      </c>
    </row>
    <row r="22" spans="1:7" x14ac:dyDescent="0.25">
      <c r="A22" s="23" t="s">
        <v>121</v>
      </c>
      <c r="B22" s="22">
        <f>Data!$D$3:$D$153</f>
        <v>33</v>
      </c>
    </row>
    <row r="23" spans="1:7" x14ac:dyDescent="0.25">
      <c r="A23" s="23" t="s">
        <v>122</v>
      </c>
    </row>
    <row r="24" spans="1:7" x14ac:dyDescent="0.25">
      <c r="A24" s="23" t="s">
        <v>123</v>
      </c>
      <c r="B24" s="22" t="s">
        <v>124</v>
      </c>
      <c r="C24" s="22" t="s">
        <v>125</v>
      </c>
      <c r="D24" s="22" t="s">
        <v>126</v>
      </c>
      <c r="E24" s="22" t="b">
        <v>1</v>
      </c>
      <c r="F24" s="22">
        <v>0</v>
      </c>
      <c r="G24" s="22">
        <v>4</v>
      </c>
    </row>
    <row r="25" spans="1:7" x14ac:dyDescent="0.25">
      <c r="A25" s="23" t="s">
        <v>127</v>
      </c>
      <c r="B25" s="22" t="str">
        <f>Data!$E$3:$E$153</f>
        <v>Yes</v>
      </c>
    </row>
    <row r="26" spans="1:7" x14ac:dyDescent="0.25">
      <c r="A26" s="23" t="s">
        <v>128</v>
      </c>
    </row>
    <row r="27" spans="1:7" x14ac:dyDescent="0.25">
      <c r="A27" s="23" t="s">
        <v>129</v>
      </c>
      <c r="B27" s="22" t="s">
        <v>130</v>
      </c>
      <c r="C27" s="22" t="s">
        <v>131</v>
      </c>
      <c r="D27" s="22" t="s">
        <v>132</v>
      </c>
      <c r="E27" s="22" t="b">
        <v>1</v>
      </c>
      <c r="F27" s="22">
        <v>0</v>
      </c>
      <c r="G27" s="22">
        <v>4</v>
      </c>
    </row>
    <row r="28" spans="1:7" x14ac:dyDescent="0.25">
      <c r="A28" s="23" t="s">
        <v>133</v>
      </c>
      <c r="B28" s="22">
        <f>Data!$F$3:$F$153</f>
        <v>5</v>
      </c>
    </row>
    <row r="29" spans="1:7" x14ac:dyDescent="0.25">
      <c r="A29" s="23" t="s">
        <v>134</v>
      </c>
    </row>
    <row r="30" spans="1:7" x14ac:dyDescent="0.25">
      <c r="A30" s="23" t="s">
        <v>135</v>
      </c>
      <c r="B30" s="22" t="s">
        <v>136</v>
      </c>
      <c r="C30" s="22" t="s">
        <v>137</v>
      </c>
      <c r="D30" s="22" t="s">
        <v>138</v>
      </c>
      <c r="E30" s="22" t="b">
        <v>1</v>
      </c>
      <c r="F30" s="22">
        <v>0</v>
      </c>
      <c r="G30" s="22">
        <v>4</v>
      </c>
    </row>
    <row r="31" spans="1:7" x14ac:dyDescent="0.25">
      <c r="A31" s="23" t="s">
        <v>139</v>
      </c>
      <c r="B31" s="22">
        <f>Data!$G$3:$G$153</f>
        <v>3054</v>
      </c>
    </row>
    <row r="32" spans="1:7" x14ac:dyDescent="0.25">
      <c r="A32" s="23" t="s">
        <v>140</v>
      </c>
    </row>
    <row r="33" spans="1:7" x14ac:dyDescent="0.25">
      <c r="A33" s="23" t="s">
        <v>141</v>
      </c>
      <c r="B33" s="22" t="s">
        <v>142</v>
      </c>
      <c r="C33" s="22" t="s">
        <v>143</v>
      </c>
      <c r="D33" s="22" t="s">
        <v>144</v>
      </c>
      <c r="E33" s="22" t="b">
        <v>1</v>
      </c>
      <c r="F33" s="22">
        <v>0</v>
      </c>
      <c r="G33" s="22">
        <v>4</v>
      </c>
    </row>
    <row r="34" spans="1:7" x14ac:dyDescent="0.25">
      <c r="A34" s="23" t="s">
        <v>145</v>
      </c>
      <c r="B34" s="22">
        <f>Data!$H$3:$H$153</f>
        <v>6552</v>
      </c>
    </row>
    <row r="35" spans="1:7" x14ac:dyDescent="0.25">
      <c r="A35" s="23" t="s">
        <v>146</v>
      </c>
    </row>
    <row r="36" spans="1:7" x14ac:dyDescent="0.25">
      <c r="A36" s="23" t="s">
        <v>147</v>
      </c>
      <c r="B36" s="22" t="s">
        <v>148</v>
      </c>
      <c r="C36" s="22" t="s">
        <v>149</v>
      </c>
      <c r="D36" s="22" t="s">
        <v>150</v>
      </c>
      <c r="E36" s="22" t="b">
        <v>1</v>
      </c>
      <c r="F36" s="22">
        <v>0</v>
      </c>
      <c r="G36" s="22">
        <v>4</v>
      </c>
    </row>
    <row r="37" spans="1:7" x14ac:dyDescent="0.25">
      <c r="A37" s="23" t="s">
        <v>151</v>
      </c>
      <c r="B37" s="22">
        <f>Data!$I$3:$I$153</f>
        <v>474</v>
      </c>
    </row>
    <row r="38" spans="1:7" x14ac:dyDescent="0.25">
      <c r="A38" s="23" t="s">
        <v>152</v>
      </c>
    </row>
    <row r="39" spans="1:7" x14ac:dyDescent="0.25">
      <c r="A39" s="23" t="s">
        <v>153</v>
      </c>
      <c r="B39" s="22" t="s">
        <v>154</v>
      </c>
      <c r="C39" s="22" t="s">
        <v>155</v>
      </c>
      <c r="D39" s="22" t="s">
        <v>156</v>
      </c>
      <c r="E39" s="22" t="b">
        <v>1</v>
      </c>
      <c r="F39" s="22">
        <v>0</v>
      </c>
      <c r="G39" s="22">
        <v>4</v>
      </c>
    </row>
    <row r="40" spans="1:7" x14ac:dyDescent="0.25">
      <c r="A40" s="23" t="s">
        <v>157</v>
      </c>
      <c r="B40" s="22">
        <f>Data!$J$3:$J$153</f>
        <v>1605</v>
      </c>
    </row>
    <row r="41" spans="1:7" x14ac:dyDescent="0.25">
      <c r="A41" s="23" t="s">
        <v>158</v>
      </c>
    </row>
    <row r="42" spans="1:7" x14ac:dyDescent="0.25">
      <c r="A42" s="23" t="s">
        <v>159</v>
      </c>
      <c r="B42" s="22" t="s">
        <v>160</v>
      </c>
      <c r="C42" s="22" t="s">
        <v>161</v>
      </c>
      <c r="D42" s="22" t="s">
        <v>162</v>
      </c>
      <c r="E42" s="22" t="b">
        <v>1</v>
      </c>
      <c r="F42" s="22">
        <v>0</v>
      </c>
      <c r="G42" s="22">
        <v>4</v>
      </c>
    </row>
    <row r="43" spans="1:7" x14ac:dyDescent="0.25">
      <c r="A43" s="23" t="s">
        <v>163</v>
      </c>
      <c r="B43" s="22">
        <f>Data!$K$3:$K$153</f>
        <v>1342</v>
      </c>
    </row>
    <row r="44" spans="1:7" x14ac:dyDescent="0.25">
      <c r="A44" s="23" t="s">
        <v>164</v>
      </c>
    </row>
    <row r="45" spans="1:7" x14ac:dyDescent="0.25">
      <c r="A45" s="23" t="s">
        <v>165</v>
      </c>
      <c r="B45" s="22" t="s">
        <v>166</v>
      </c>
      <c r="C45" s="22" t="s">
        <v>167</v>
      </c>
      <c r="D45" s="22" t="s">
        <v>168</v>
      </c>
      <c r="E45" s="22" t="b">
        <v>1</v>
      </c>
      <c r="F45" s="22">
        <v>0</v>
      </c>
      <c r="G45" s="22">
        <v>4</v>
      </c>
    </row>
    <row r="46" spans="1:7" x14ac:dyDescent="0.25">
      <c r="A46" s="23" t="s">
        <v>169</v>
      </c>
      <c r="B46" s="22">
        <f>Data!$L$3:$L$153</f>
        <v>2270</v>
      </c>
    </row>
    <row r="47" spans="1:7" x14ac:dyDescent="0.25">
      <c r="A47" s="23" t="s">
        <v>170</v>
      </c>
    </row>
    <row r="48" spans="1:7" x14ac:dyDescent="0.25">
      <c r="A48" s="23" t="s">
        <v>171</v>
      </c>
      <c r="B48" s="22" t="s">
        <v>172</v>
      </c>
      <c r="C48" s="22" t="s">
        <v>173</v>
      </c>
      <c r="D48" s="22" t="s">
        <v>174</v>
      </c>
      <c r="E48" s="22" t="b">
        <v>1</v>
      </c>
      <c r="F48" s="22">
        <v>0</v>
      </c>
      <c r="G48" s="22">
        <v>4</v>
      </c>
    </row>
    <row r="49" spans="1:7" x14ac:dyDescent="0.25">
      <c r="A49" s="23" t="s">
        <v>175</v>
      </c>
      <c r="B49" s="22">
        <f>Data!$M$3:$M$153</f>
        <v>1055</v>
      </c>
    </row>
    <row r="50" spans="1:7" x14ac:dyDescent="0.25">
      <c r="A50" s="23" t="s">
        <v>176</v>
      </c>
    </row>
    <row r="51" spans="1:7" x14ac:dyDescent="0.25">
      <c r="A51" s="23" t="s">
        <v>177</v>
      </c>
      <c r="B51" s="22" t="s">
        <v>178</v>
      </c>
      <c r="C51" s="22" t="s">
        <v>179</v>
      </c>
      <c r="D51" s="22" t="s">
        <v>180</v>
      </c>
      <c r="E51" s="22" t="b">
        <v>1</v>
      </c>
      <c r="F51" s="22">
        <v>0</v>
      </c>
      <c r="G51" s="22">
        <v>4</v>
      </c>
    </row>
    <row r="52" spans="1:7" x14ac:dyDescent="0.25">
      <c r="A52" s="23" t="s">
        <v>181</v>
      </c>
      <c r="B52" s="22">
        <f>Data!$N$3:$N$153</f>
        <v>2494</v>
      </c>
    </row>
    <row r="53" spans="1:7" x14ac:dyDescent="0.25">
      <c r="A53" s="23" t="s">
        <v>182</v>
      </c>
    </row>
    <row r="54" spans="1:7" x14ac:dyDescent="0.25">
      <c r="A54" s="23" t="s">
        <v>183</v>
      </c>
      <c r="B54" s="22" t="s">
        <v>184</v>
      </c>
      <c r="C54" s="22" t="s">
        <v>185</v>
      </c>
      <c r="D54" s="22" t="s">
        <v>186</v>
      </c>
      <c r="E54" s="22" t="b">
        <v>1</v>
      </c>
      <c r="F54" s="22">
        <v>0</v>
      </c>
      <c r="G54" s="22">
        <v>4</v>
      </c>
    </row>
    <row r="55" spans="1:7" x14ac:dyDescent="0.25">
      <c r="A55" s="23" t="s">
        <v>187</v>
      </c>
      <c r="B55" s="22">
        <f>Data!$O$3:$O$153</f>
        <v>1673</v>
      </c>
    </row>
    <row r="56" spans="1:7" x14ac:dyDescent="0.25">
      <c r="A56" s="23" t="s">
        <v>188</v>
      </c>
    </row>
    <row r="57" spans="1:7" x14ac:dyDescent="0.25">
      <c r="A57" s="23" t="s">
        <v>189</v>
      </c>
      <c r="B57" s="22" t="s">
        <v>190</v>
      </c>
      <c r="C57" s="22" t="s">
        <v>191</v>
      </c>
      <c r="D57" s="22" t="s">
        <v>192</v>
      </c>
      <c r="E57" s="22" t="b">
        <v>1</v>
      </c>
      <c r="F57" s="22">
        <v>0</v>
      </c>
      <c r="G57" s="22">
        <v>4</v>
      </c>
    </row>
    <row r="58" spans="1:7" x14ac:dyDescent="0.25">
      <c r="A58" s="23" t="s">
        <v>193</v>
      </c>
      <c r="B58" s="22">
        <f>Data!$P$3:$P$153</f>
        <v>651</v>
      </c>
    </row>
    <row r="59" spans="1:7" x14ac:dyDescent="0.25">
      <c r="A59" s="23" t="s">
        <v>194</v>
      </c>
    </row>
    <row r="60" spans="1:7" x14ac:dyDescent="0.25">
      <c r="A60" s="23" t="s">
        <v>195</v>
      </c>
      <c r="B60" s="22" t="s">
        <v>196</v>
      </c>
      <c r="C60" s="22" t="s">
        <v>197</v>
      </c>
      <c r="D60" s="22" t="s">
        <v>198</v>
      </c>
      <c r="E60" s="22" t="b">
        <v>1</v>
      </c>
      <c r="F60" s="22">
        <v>0</v>
      </c>
      <c r="G60" s="22">
        <v>4</v>
      </c>
    </row>
    <row r="61" spans="1:7" x14ac:dyDescent="0.25">
      <c r="A61" s="23" t="s">
        <v>199</v>
      </c>
      <c r="B61" s="22">
        <f>Data!$Q$3:$Q$153</f>
        <v>336</v>
      </c>
    </row>
    <row r="62" spans="1:7" x14ac:dyDescent="0.25">
      <c r="A62" s="23" t="s">
        <v>200</v>
      </c>
    </row>
    <row r="63" spans="1:7" x14ac:dyDescent="0.25">
      <c r="A63" s="23" t="s">
        <v>201</v>
      </c>
      <c r="B63" s="22" t="s">
        <v>202</v>
      </c>
      <c r="C63" s="22" t="s">
        <v>203</v>
      </c>
      <c r="D63" s="22" t="s">
        <v>204</v>
      </c>
      <c r="E63" s="22" t="b">
        <v>1</v>
      </c>
      <c r="F63" s="22">
        <v>0</v>
      </c>
      <c r="G63" s="22">
        <v>4</v>
      </c>
    </row>
    <row r="64" spans="1:7" x14ac:dyDescent="0.25">
      <c r="A64" s="23" t="s">
        <v>205</v>
      </c>
      <c r="B64" s="22">
        <f>Data!$R$3:$R$153</f>
        <v>1306</v>
      </c>
    </row>
    <row r="65" spans="1:7" x14ac:dyDescent="0.25">
      <c r="A65" s="23" t="s">
        <v>206</v>
      </c>
    </row>
    <row r="66" spans="1:7" x14ac:dyDescent="0.25">
      <c r="A66" s="23" t="s">
        <v>207</v>
      </c>
      <c r="B66" s="22" t="s">
        <v>208</v>
      </c>
      <c r="C66" s="22" t="s">
        <v>209</v>
      </c>
      <c r="D66" s="22" t="s">
        <v>210</v>
      </c>
      <c r="E66" s="22" t="b">
        <v>1</v>
      </c>
      <c r="F66" s="22">
        <v>0</v>
      </c>
      <c r="G66" s="22">
        <v>4</v>
      </c>
    </row>
    <row r="67" spans="1:7" x14ac:dyDescent="0.25">
      <c r="A67" s="23" t="s">
        <v>211</v>
      </c>
      <c r="B67" s="22">
        <f>Data!$S$3:$S$153</f>
        <v>1908</v>
      </c>
    </row>
    <row r="68" spans="1:7" x14ac:dyDescent="0.25">
      <c r="A68" s="23" t="s">
        <v>212</v>
      </c>
    </row>
    <row r="69" spans="1:7" x14ac:dyDescent="0.25">
      <c r="A69" s="23" t="s">
        <v>213</v>
      </c>
      <c r="B69" s="22" t="s">
        <v>214</v>
      </c>
      <c r="C69" s="22" t="s">
        <v>215</v>
      </c>
      <c r="D69" s="22" t="s">
        <v>216</v>
      </c>
      <c r="E69" s="22" t="b">
        <v>1</v>
      </c>
      <c r="F69" s="22">
        <v>0</v>
      </c>
      <c r="G69" s="22">
        <v>4</v>
      </c>
    </row>
    <row r="70" spans="1:7" x14ac:dyDescent="0.25">
      <c r="A70" s="23" t="s">
        <v>217</v>
      </c>
      <c r="B70" s="22">
        <f>Data!$T$3:$T$153</f>
        <v>8639</v>
      </c>
    </row>
    <row r="71" spans="1:7" x14ac:dyDescent="0.25">
      <c r="A71" s="23" t="s">
        <v>218</v>
      </c>
    </row>
    <row r="72" spans="1:7" x14ac:dyDescent="0.25">
      <c r="A72" s="23" t="s">
        <v>219</v>
      </c>
      <c r="B72" s="22" t="s">
        <v>220</v>
      </c>
      <c r="C72" s="22" t="s">
        <v>221</v>
      </c>
      <c r="D72" s="22" t="s">
        <v>222</v>
      </c>
      <c r="E72" s="22" t="b">
        <v>1</v>
      </c>
      <c r="F72" s="22">
        <v>0</v>
      </c>
      <c r="G72" s="22">
        <v>4</v>
      </c>
    </row>
    <row r="73" spans="1:7" x14ac:dyDescent="0.25">
      <c r="A73" s="23" t="s">
        <v>223</v>
      </c>
      <c r="B73" s="22">
        <f>Data!$U$3:$U$153</f>
        <v>2793</v>
      </c>
    </row>
    <row r="74" spans="1:7" x14ac:dyDescent="0.25">
      <c r="A74" s="23" t="s">
        <v>224</v>
      </c>
    </row>
    <row r="75" spans="1:7" x14ac:dyDescent="0.25">
      <c r="A75" s="23" t="s">
        <v>225</v>
      </c>
      <c r="B75" s="22" t="s">
        <v>226</v>
      </c>
      <c r="C75" s="22" t="s">
        <v>227</v>
      </c>
      <c r="D75" s="22" t="s">
        <v>228</v>
      </c>
      <c r="E75" s="22" t="b">
        <v>1</v>
      </c>
      <c r="F75" s="22">
        <v>0</v>
      </c>
      <c r="G75" s="22">
        <v>4</v>
      </c>
    </row>
    <row r="76" spans="1:7" x14ac:dyDescent="0.25">
      <c r="A76" s="23" t="s">
        <v>229</v>
      </c>
      <c r="B76" s="22">
        <f>Data!$V$3:$V$153</f>
        <v>6719</v>
      </c>
    </row>
    <row r="77" spans="1:7" x14ac:dyDescent="0.25">
      <c r="A77" s="23" t="s">
        <v>230</v>
      </c>
    </row>
    <row r="78" spans="1:7" x14ac:dyDescent="0.25">
      <c r="A78" s="23" t="s">
        <v>231</v>
      </c>
      <c r="B78" s="22" t="s">
        <v>232</v>
      </c>
      <c r="C78" s="22" t="s">
        <v>233</v>
      </c>
      <c r="D78" s="22" t="s">
        <v>234</v>
      </c>
      <c r="E78" s="22" t="b">
        <v>1</v>
      </c>
      <c r="F78" s="22">
        <v>0</v>
      </c>
      <c r="G78" s="22">
        <v>4</v>
      </c>
    </row>
    <row r="79" spans="1:7" x14ac:dyDescent="0.25">
      <c r="A79" s="23" t="s">
        <v>235</v>
      </c>
      <c r="B79" s="22">
        <f>Data!$W$3:$W$153</f>
        <v>565</v>
      </c>
    </row>
    <row r="80" spans="1:7" x14ac:dyDescent="0.25">
      <c r="A80" s="23" t="s">
        <v>236</v>
      </c>
    </row>
    <row r="81" spans="1:7" x14ac:dyDescent="0.25">
      <c r="A81" s="23" t="s">
        <v>237</v>
      </c>
      <c r="B81" s="22" t="s">
        <v>238</v>
      </c>
      <c r="C81" s="22" t="s">
        <v>239</v>
      </c>
      <c r="D81" s="22" t="s">
        <v>240</v>
      </c>
      <c r="E81" s="22" t="b">
        <v>1</v>
      </c>
      <c r="F81" s="22">
        <v>0</v>
      </c>
      <c r="G81" s="22">
        <v>4</v>
      </c>
    </row>
    <row r="82" spans="1:7" x14ac:dyDescent="0.25">
      <c r="A82" s="23" t="s">
        <v>241</v>
      </c>
      <c r="B82" s="22">
        <f>Data!$X$3:$X$153</f>
        <v>1575</v>
      </c>
    </row>
    <row r="83" spans="1:7" x14ac:dyDescent="0.25">
      <c r="A83" s="23" t="s">
        <v>242</v>
      </c>
    </row>
    <row r="84" spans="1:7" x14ac:dyDescent="0.25">
      <c r="A84" s="23" t="s">
        <v>243</v>
      </c>
      <c r="B84" s="22" t="s">
        <v>244</v>
      </c>
      <c r="C84" s="22" t="s">
        <v>245</v>
      </c>
      <c r="D84" s="22" t="s">
        <v>246</v>
      </c>
      <c r="E84" s="22" t="b">
        <v>1</v>
      </c>
      <c r="F84" s="22">
        <v>0</v>
      </c>
      <c r="G84" s="22">
        <v>4</v>
      </c>
    </row>
    <row r="85" spans="1:7" x14ac:dyDescent="0.25">
      <c r="A85" s="23" t="s">
        <v>247</v>
      </c>
      <c r="B85" s="22">
        <f>Data!$Y$3:$Y$153</f>
        <v>1452</v>
      </c>
    </row>
    <row r="86" spans="1:7" x14ac:dyDescent="0.25">
      <c r="A86" s="23" t="s">
        <v>248</v>
      </c>
    </row>
    <row r="87" spans="1:7" x14ac:dyDescent="0.25">
      <c r="A87" s="23" t="s">
        <v>249</v>
      </c>
      <c r="B87" s="22" t="s">
        <v>250</v>
      </c>
      <c r="C87" s="22" t="s">
        <v>251</v>
      </c>
      <c r="D87" s="22" t="s">
        <v>252</v>
      </c>
      <c r="E87" s="22" t="b">
        <v>1</v>
      </c>
      <c r="F87" s="22">
        <v>0</v>
      </c>
      <c r="G87" s="22">
        <v>4</v>
      </c>
    </row>
    <row r="88" spans="1:7" x14ac:dyDescent="0.25">
      <c r="A88" s="23" t="s">
        <v>253</v>
      </c>
      <c r="B88" s="22">
        <f>Data!$Z$3:$Z$153</f>
        <v>2115</v>
      </c>
    </row>
    <row r="89" spans="1:7" x14ac:dyDescent="0.25">
      <c r="A89" s="23" t="s">
        <v>254</v>
      </c>
    </row>
    <row r="90" spans="1:7" x14ac:dyDescent="0.25">
      <c r="A90" s="23" t="s">
        <v>255</v>
      </c>
      <c r="B90" s="22" t="s">
        <v>256</v>
      </c>
      <c r="C90" s="22" t="s">
        <v>257</v>
      </c>
      <c r="D90" s="22" t="s">
        <v>258</v>
      </c>
      <c r="E90" s="22" t="b">
        <v>1</v>
      </c>
      <c r="F90" s="22">
        <v>0</v>
      </c>
      <c r="G90" s="22">
        <v>4</v>
      </c>
    </row>
    <row r="91" spans="1:7" x14ac:dyDescent="0.25">
      <c r="A91" s="23" t="s">
        <v>259</v>
      </c>
      <c r="B91" s="22">
        <f>Data!$AA$3:$AA$153</f>
        <v>848</v>
      </c>
    </row>
    <row r="92" spans="1:7" x14ac:dyDescent="0.25">
      <c r="A92" s="23" t="s">
        <v>260</v>
      </c>
    </row>
    <row r="93" spans="1:7" x14ac:dyDescent="0.25">
      <c r="A93" s="23" t="s">
        <v>261</v>
      </c>
      <c r="B93" s="22" t="s">
        <v>262</v>
      </c>
      <c r="C93" s="22" t="s">
        <v>263</v>
      </c>
      <c r="D93" s="22" t="s">
        <v>264</v>
      </c>
      <c r="E93" s="22" t="b">
        <v>1</v>
      </c>
      <c r="F93" s="22">
        <v>0</v>
      </c>
      <c r="G93" s="22">
        <v>4</v>
      </c>
    </row>
    <row r="94" spans="1:7" x14ac:dyDescent="0.25">
      <c r="A94" s="23" t="s">
        <v>265</v>
      </c>
      <c r="B94" s="22">
        <f>Data!$AB$3:$AB$153</f>
        <v>2335</v>
      </c>
    </row>
    <row r="95" spans="1:7" x14ac:dyDescent="0.25">
      <c r="A95" s="23" t="s">
        <v>266</v>
      </c>
    </row>
    <row r="96" spans="1:7" x14ac:dyDescent="0.25">
      <c r="A96" s="23" t="s">
        <v>267</v>
      </c>
      <c r="B96" s="22" t="s">
        <v>268</v>
      </c>
      <c r="C96" s="22" t="s">
        <v>269</v>
      </c>
      <c r="D96" s="22" t="s">
        <v>270</v>
      </c>
      <c r="E96" s="22" t="b">
        <v>1</v>
      </c>
      <c r="F96" s="22">
        <v>0</v>
      </c>
      <c r="G96" s="22">
        <v>4</v>
      </c>
    </row>
    <row r="97" spans="1:7" x14ac:dyDescent="0.25">
      <c r="A97" s="23" t="s">
        <v>271</v>
      </c>
      <c r="B97" s="22">
        <f>Data!$AC$3:$AC$153</f>
        <v>1652</v>
      </c>
    </row>
    <row r="98" spans="1:7" x14ac:dyDescent="0.25">
      <c r="A98" s="23" t="s">
        <v>272</v>
      </c>
    </row>
    <row r="99" spans="1:7" x14ac:dyDescent="0.25">
      <c r="A99" s="23" t="s">
        <v>273</v>
      </c>
      <c r="B99" s="22" t="s">
        <v>274</v>
      </c>
      <c r="C99" s="22" t="s">
        <v>275</v>
      </c>
      <c r="D99" s="22" t="s">
        <v>276</v>
      </c>
      <c r="E99" s="22" t="b">
        <v>1</v>
      </c>
      <c r="F99" s="22">
        <v>0</v>
      </c>
      <c r="G99" s="22">
        <v>4</v>
      </c>
    </row>
    <row r="100" spans="1:7" x14ac:dyDescent="0.25">
      <c r="A100" s="23" t="s">
        <v>277</v>
      </c>
      <c r="B100" s="22">
        <f>Data!$AD$3:$AD$153</f>
        <v>586</v>
      </c>
    </row>
    <row r="101" spans="1:7" x14ac:dyDescent="0.25">
      <c r="A101" s="23" t="s">
        <v>278</v>
      </c>
    </row>
    <row r="102" spans="1:7" x14ac:dyDescent="0.25">
      <c r="A102" s="23" t="s">
        <v>279</v>
      </c>
      <c r="B102" s="22" t="s">
        <v>280</v>
      </c>
      <c r="C102" s="22" t="s">
        <v>281</v>
      </c>
      <c r="D102" s="22" t="s">
        <v>282</v>
      </c>
      <c r="E102" s="22" t="b">
        <v>1</v>
      </c>
      <c r="F102" s="22">
        <v>0</v>
      </c>
      <c r="G102" s="22">
        <v>4</v>
      </c>
    </row>
    <row r="103" spans="1:7" x14ac:dyDescent="0.25">
      <c r="A103" s="23" t="s">
        <v>283</v>
      </c>
      <c r="B103" s="22">
        <f>Data!$AE$3:$AE$153</f>
        <v>373</v>
      </c>
    </row>
    <row r="104" spans="1:7" x14ac:dyDescent="0.25">
      <c r="A104" s="23" t="s">
        <v>284</v>
      </c>
    </row>
    <row r="105" spans="1:7" x14ac:dyDescent="0.25">
      <c r="A105" s="23" t="s">
        <v>285</v>
      </c>
      <c r="B105" s="22" t="s">
        <v>286</v>
      </c>
      <c r="C105" s="22" t="s">
        <v>287</v>
      </c>
      <c r="D105" s="22" t="s">
        <v>288</v>
      </c>
      <c r="E105" s="22" t="b">
        <v>1</v>
      </c>
      <c r="F105" s="22">
        <v>0</v>
      </c>
      <c r="G105" s="22">
        <v>4</v>
      </c>
    </row>
    <row r="106" spans="1:7" x14ac:dyDescent="0.25">
      <c r="A106" s="23" t="s">
        <v>289</v>
      </c>
      <c r="B106" s="22">
        <f>Data!$AF$3:$AF$153</f>
        <v>1158</v>
      </c>
    </row>
    <row r="107" spans="1:7" x14ac:dyDescent="0.25">
      <c r="A107" s="23" t="s">
        <v>290</v>
      </c>
    </row>
    <row r="108" spans="1:7" x14ac:dyDescent="0.25">
      <c r="A108" s="23" t="s">
        <v>291</v>
      </c>
      <c r="B108" s="22" t="s">
        <v>292</v>
      </c>
      <c r="C108" s="22" t="s">
        <v>293</v>
      </c>
      <c r="D108" s="22" t="s">
        <v>294</v>
      </c>
      <c r="E108" s="22" t="b">
        <v>1</v>
      </c>
      <c r="F108" s="22">
        <v>0</v>
      </c>
      <c r="G108" s="22">
        <v>4</v>
      </c>
    </row>
    <row r="109" spans="1:7" x14ac:dyDescent="0.25">
      <c r="A109" s="23" t="s">
        <v>295</v>
      </c>
      <c r="B109" s="22">
        <f>Data!$AG$3:$AG$153</f>
        <v>1937</v>
      </c>
    </row>
    <row r="110" spans="1:7" x14ac:dyDescent="0.25">
      <c r="A110" s="23" t="s">
        <v>296</v>
      </c>
    </row>
    <row r="111" spans="1:7" x14ac:dyDescent="0.25">
      <c r="A111" s="23" t="s">
        <v>297</v>
      </c>
      <c r="B111" s="22" t="s">
        <v>298</v>
      </c>
      <c r="C111" s="22" t="s">
        <v>299</v>
      </c>
      <c r="D111" s="22" t="s">
        <v>300</v>
      </c>
      <c r="E111" s="22" t="b">
        <v>1</v>
      </c>
      <c r="F111" s="22">
        <v>0</v>
      </c>
      <c r="G111" s="22">
        <v>4</v>
      </c>
    </row>
    <row r="112" spans="1:7" x14ac:dyDescent="0.25">
      <c r="A112" s="23" t="s">
        <v>301</v>
      </c>
      <c r="B112" s="22">
        <f>Data!$AH$3:$AH$153</f>
        <v>7842</v>
      </c>
    </row>
    <row r="113" spans="1:1" x14ac:dyDescent="0.25">
      <c r="A113" s="23" t="s">
        <v>302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showGridLines="0" workbookViewId="0">
      <selection activeCell="A6" sqref="A6"/>
    </sheetView>
  </sheetViews>
  <sheetFormatPr defaultColWidth="12.7109375" defaultRowHeight="15" x14ac:dyDescent="0.25"/>
  <cols>
    <col min="1" max="1" width="13" bestFit="1" customWidth="1"/>
    <col min="2" max="30" width="12.7109375" customWidth="1"/>
  </cols>
  <sheetData>
    <row r="1" spans="1:30" s="24" customFormat="1" ht="18.75" x14ac:dyDescent="0.3">
      <c r="A1" s="26" t="s">
        <v>303</v>
      </c>
      <c r="B1" s="29" t="s">
        <v>304</v>
      </c>
    </row>
    <row r="2" spans="1:30" s="24" customFormat="1" ht="11.25" x14ac:dyDescent="0.2">
      <c r="A2" s="27" t="s">
        <v>305</v>
      </c>
      <c r="B2" s="29" t="s">
        <v>306</v>
      </c>
    </row>
    <row r="3" spans="1:30" s="24" customFormat="1" ht="11.25" x14ac:dyDescent="0.2">
      <c r="A3" s="27" t="s">
        <v>307</v>
      </c>
      <c r="B3" s="29" t="s">
        <v>308</v>
      </c>
    </row>
    <row r="4" spans="1:30" s="24" customFormat="1" ht="11.25" x14ac:dyDescent="0.2">
      <c r="A4" s="27" t="s">
        <v>309</v>
      </c>
      <c r="B4" s="29" t="s">
        <v>315</v>
      </c>
    </row>
    <row r="5" spans="1:30" s="25" customFormat="1" ht="11.25" x14ac:dyDescent="0.2">
      <c r="A5" s="28" t="s">
        <v>310</v>
      </c>
      <c r="B5" s="30" t="s">
        <v>311</v>
      </c>
    </row>
    <row r="6" spans="1:30" ht="15" customHeight="1" x14ac:dyDescent="0.25"/>
    <row r="7" spans="1:30" ht="15" customHeight="1" x14ac:dyDescent="0.25">
      <c r="A7" s="34"/>
      <c r="B7" s="31" t="s">
        <v>30</v>
      </c>
      <c r="C7" s="31" t="s">
        <v>2</v>
      </c>
      <c r="D7" s="31" t="s">
        <v>3</v>
      </c>
      <c r="E7" s="31" t="s">
        <v>4</v>
      </c>
      <c r="F7" s="31" t="s">
        <v>5</v>
      </c>
      <c r="G7" s="31" t="s">
        <v>6</v>
      </c>
      <c r="H7" s="31" t="s">
        <v>7</v>
      </c>
      <c r="I7" s="31" t="s">
        <v>8</v>
      </c>
      <c r="J7" s="31" t="s">
        <v>9</v>
      </c>
      <c r="K7" s="31" t="s">
        <v>10</v>
      </c>
      <c r="L7" s="31" t="s">
        <v>11</v>
      </c>
      <c r="M7" s="31" t="s">
        <v>12</v>
      </c>
      <c r="N7" s="31" t="s">
        <v>13</v>
      </c>
      <c r="O7" s="31" t="s">
        <v>14</v>
      </c>
      <c r="P7" s="31" t="s">
        <v>15</v>
      </c>
      <c r="Q7" s="31" t="s">
        <v>32</v>
      </c>
      <c r="R7" s="31" t="s">
        <v>33</v>
      </c>
      <c r="S7" s="31" t="s">
        <v>34</v>
      </c>
      <c r="T7" s="31" t="s">
        <v>35</v>
      </c>
      <c r="U7" s="31" t="s">
        <v>36</v>
      </c>
      <c r="V7" s="31" t="s">
        <v>37</v>
      </c>
      <c r="W7" s="31" t="s">
        <v>38</v>
      </c>
      <c r="X7" s="31" t="s">
        <v>39</v>
      </c>
      <c r="Y7" s="31" t="s">
        <v>40</v>
      </c>
      <c r="Z7" s="31" t="s">
        <v>41</v>
      </c>
      <c r="AA7" s="31" t="s">
        <v>42</v>
      </c>
      <c r="AB7" s="31" t="s">
        <v>43</v>
      </c>
      <c r="AC7" s="31" t="s">
        <v>44</v>
      </c>
      <c r="AD7" s="31" t="s">
        <v>45</v>
      </c>
    </row>
    <row r="8" spans="1:30" ht="15" customHeight="1" thickBot="1" x14ac:dyDescent="0.3">
      <c r="A8" s="35" t="s">
        <v>312</v>
      </c>
      <c r="B8" s="32" t="s">
        <v>87</v>
      </c>
      <c r="C8" s="32" t="s">
        <v>87</v>
      </c>
      <c r="D8" s="32" t="s">
        <v>87</v>
      </c>
      <c r="E8" s="32" t="s">
        <v>87</v>
      </c>
      <c r="F8" s="32" t="s">
        <v>87</v>
      </c>
      <c r="G8" s="32" t="s">
        <v>87</v>
      </c>
      <c r="H8" s="32" t="s">
        <v>87</v>
      </c>
      <c r="I8" s="32" t="s">
        <v>87</v>
      </c>
      <c r="J8" s="32" t="s">
        <v>87</v>
      </c>
      <c r="K8" s="32" t="s">
        <v>87</v>
      </c>
      <c r="L8" s="32" t="s">
        <v>87</v>
      </c>
      <c r="M8" s="32" t="s">
        <v>87</v>
      </c>
      <c r="N8" s="32" t="s">
        <v>87</v>
      </c>
      <c r="O8" s="32" t="s">
        <v>87</v>
      </c>
      <c r="P8" s="32" t="s">
        <v>87</v>
      </c>
      <c r="Q8" s="32" t="s">
        <v>87</v>
      </c>
      <c r="R8" s="32" t="s">
        <v>87</v>
      </c>
      <c r="S8" s="32" t="s">
        <v>87</v>
      </c>
      <c r="T8" s="32" t="s">
        <v>87</v>
      </c>
      <c r="U8" s="32" t="s">
        <v>87</v>
      </c>
      <c r="V8" s="32" t="s">
        <v>87</v>
      </c>
      <c r="W8" s="32" t="s">
        <v>87</v>
      </c>
      <c r="X8" s="32" t="s">
        <v>87</v>
      </c>
      <c r="Y8" s="32" t="s">
        <v>87</v>
      </c>
      <c r="Z8" s="32" t="s">
        <v>87</v>
      </c>
      <c r="AA8" s="32" t="s">
        <v>87</v>
      </c>
      <c r="AB8" s="32" t="s">
        <v>87</v>
      </c>
      <c r="AC8" s="32" t="s">
        <v>87</v>
      </c>
      <c r="AD8" s="32" t="s">
        <v>87</v>
      </c>
    </row>
    <row r="9" spans="1:30" ht="15" customHeight="1" thickTop="1" x14ac:dyDescent="0.25">
      <c r="A9" s="33" t="s">
        <v>30</v>
      </c>
      <c r="B9" s="36">
        <v>1</v>
      </c>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row>
    <row r="10" spans="1:30" ht="15" customHeight="1" x14ac:dyDescent="0.25">
      <c r="A10" s="33" t="s">
        <v>2</v>
      </c>
      <c r="B10" s="39">
        <f>_xll.StatCorrelationCoeff( ST_FG,ST_Wins)</f>
        <v>0.31193650527278605</v>
      </c>
      <c r="C10" s="36">
        <v>1</v>
      </c>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row>
    <row r="11" spans="1:30" ht="15" customHeight="1" x14ac:dyDescent="0.25">
      <c r="A11" s="33" t="s">
        <v>3</v>
      </c>
      <c r="B11" s="39">
        <f>_xll.StatCorrelationCoeff( ST_FGA,ST_Wins)</f>
        <v>-5.7685990137818124E-2</v>
      </c>
      <c r="C11" s="36">
        <f>_xll.StatCorrelationCoeff( ST_FGA,ST_FG)</f>
        <v>0.74327268428245474</v>
      </c>
      <c r="D11" s="36">
        <v>1</v>
      </c>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row>
    <row r="12" spans="1:30" ht="15" customHeight="1" x14ac:dyDescent="0.25">
      <c r="A12" s="33" t="s">
        <v>4</v>
      </c>
      <c r="B12" s="39">
        <f>_xll.StatCorrelationCoeff( ST_3P,ST_Wins)</f>
        <v>0.37523890018225631</v>
      </c>
      <c r="C12" s="36">
        <f>_xll.StatCorrelationCoeff( ST_3P,ST_FG)</f>
        <v>0.41951746381158728</v>
      </c>
      <c r="D12" s="36">
        <f>_xll.StatCorrelationCoeff( ST_3P,ST_FGA)</f>
        <v>0.39140255181111677</v>
      </c>
      <c r="E12" s="36">
        <v>1</v>
      </c>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row>
    <row r="13" spans="1:30" ht="15" customHeight="1" x14ac:dyDescent="0.25">
      <c r="A13" s="33" t="s">
        <v>5</v>
      </c>
      <c r="B13" s="39">
        <f>_xll.StatCorrelationCoeff( ST_3PA,ST_Wins)</f>
        <v>0.31672605503348439</v>
      </c>
      <c r="C13" s="36">
        <f>_xll.StatCorrelationCoeff( ST_3PA,ST_FG)</f>
        <v>0.37062929769422198</v>
      </c>
      <c r="D13" s="36">
        <f>_xll.StatCorrelationCoeff( ST_3PA,ST_FGA)</f>
        <v>0.41167960445032753</v>
      </c>
      <c r="E13" s="36">
        <f>_xll.StatCorrelationCoeff( ST_3PA,ST_3P)</f>
        <v>0.982649744547062</v>
      </c>
      <c r="F13" s="36">
        <v>1</v>
      </c>
      <c r="G13" s="36"/>
      <c r="H13" s="36"/>
      <c r="I13" s="36"/>
      <c r="J13" s="36"/>
      <c r="K13" s="36"/>
      <c r="L13" s="36"/>
      <c r="M13" s="36"/>
      <c r="N13" s="36"/>
      <c r="O13" s="36"/>
      <c r="P13" s="36"/>
      <c r="Q13" s="36"/>
      <c r="R13" s="36"/>
      <c r="S13" s="36"/>
      <c r="T13" s="36"/>
      <c r="U13" s="36"/>
      <c r="V13" s="36"/>
      <c r="W13" s="36"/>
      <c r="X13" s="36"/>
      <c r="Y13" s="36"/>
      <c r="Z13" s="36"/>
      <c r="AA13" s="36"/>
      <c r="AB13" s="36"/>
      <c r="AC13" s="36"/>
      <c r="AD13" s="36"/>
    </row>
    <row r="14" spans="1:30" ht="15" customHeight="1" x14ac:dyDescent="0.25">
      <c r="A14" s="33" t="s">
        <v>6</v>
      </c>
      <c r="B14" s="39">
        <f>_xll.StatCorrelationCoeff( ST_FT,ST_Wins)</f>
        <v>4.7723419383599607E-2</v>
      </c>
      <c r="C14" s="36">
        <f>_xll.StatCorrelationCoeff( ST_FT,ST_FG)</f>
        <v>-1.1759470099033153E-2</v>
      </c>
      <c r="D14" s="36">
        <f>_xll.StatCorrelationCoeff( ST_FT,ST_FGA)</f>
        <v>-0.12864189667485862</v>
      </c>
      <c r="E14" s="36">
        <f>_xll.StatCorrelationCoeff( ST_FT,ST_3P)</f>
        <v>-0.25431322678547497</v>
      </c>
      <c r="F14" s="36">
        <f>_xll.StatCorrelationCoeff( ST_FT,ST_3PA)</f>
        <v>-0.24332127623987587</v>
      </c>
      <c r="G14" s="36">
        <v>1</v>
      </c>
      <c r="H14" s="36"/>
      <c r="I14" s="36"/>
      <c r="J14" s="36"/>
      <c r="K14" s="36"/>
      <c r="L14" s="36"/>
      <c r="M14" s="36"/>
      <c r="N14" s="36"/>
      <c r="O14" s="36"/>
      <c r="P14" s="36"/>
      <c r="Q14" s="36"/>
      <c r="R14" s="36"/>
      <c r="S14" s="36"/>
      <c r="T14" s="36"/>
      <c r="U14" s="36"/>
      <c r="V14" s="36"/>
      <c r="W14" s="36"/>
      <c r="X14" s="36"/>
      <c r="Y14" s="36"/>
      <c r="Z14" s="36"/>
      <c r="AA14" s="36"/>
      <c r="AB14" s="36"/>
      <c r="AC14" s="36"/>
      <c r="AD14" s="36"/>
    </row>
    <row r="15" spans="1:30" ht="15" customHeight="1" x14ac:dyDescent="0.25">
      <c r="A15" s="33" t="s">
        <v>7</v>
      </c>
      <c r="B15" s="39">
        <f>_xll.StatCorrelationCoeff( ST_FTA,ST_Wins)</f>
        <v>2.1552594785207789E-2</v>
      </c>
      <c r="C15" s="36">
        <f>_xll.StatCorrelationCoeff( ST_FTA,ST_FG)</f>
        <v>-9.5178165556940059E-2</v>
      </c>
      <c r="D15" s="36">
        <f>_xll.StatCorrelationCoeff( ST_FTA,ST_FGA)</f>
        <v>-0.2147637173670133</v>
      </c>
      <c r="E15" s="36">
        <f>_xll.StatCorrelationCoeff( ST_FTA,ST_3P)</f>
        <v>-0.29462142997791824</v>
      </c>
      <c r="F15" s="36">
        <f>_xll.StatCorrelationCoeff( ST_FTA,ST_3PA)</f>
        <v>-0.26925694724780369</v>
      </c>
      <c r="G15" s="36">
        <f>_xll.StatCorrelationCoeff( ST_FTA,ST_FT)</f>
        <v>0.91259827197810262</v>
      </c>
      <c r="H15" s="36">
        <v>1</v>
      </c>
      <c r="I15" s="36"/>
      <c r="J15" s="36"/>
      <c r="K15" s="36"/>
      <c r="L15" s="36"/>
      <c r="M15" s="36"/>
      <c r="N15" s="36"/>
      <c r="O15" s="36"/>
      <c r="P15" s="36"/>
      <c r="Q15" s="36"/>
      <c r="R15" s="36"/>
      <c r="S15" s="36"/>
      <c r="T15" s="36"/>
      <c r="U15" s="36"/>
      <c r="V15" s="36"/>
      <c r="W15" s="36"/>
      <c r="X15" s="36"/>
      <c r="Y15" s="36"/>
      <c r="Z15" s="36"/>
      <c r="AA15" s="36"/>
      <c r="AB15" s="36"/>
      <c r="AC15" s="36"/>
      <c r="AD15" s="36"/>
    </row>
    <row r="16" spans="1:30" ht="15" customHeight="1" x14ac:dyDescent="0.25">
      <c r="A16" s="33" t="s">
        <v>8</v>
      </c>
      <c r="B16" s="39">
        <f>_xll.StatCorrelationCoeff( ST_ORB,ST_Wins)</f>
        <v>-0.14742477357196027</v>
      </c>
      <c r="C16" s="36">
        <f>_xll.StatCorrelationCoeff( ST_ORB,ST_FG)</f>
        <v>-3.7682363444640189E-2</v>
      </c>
      <c r="D16" s="36">
        <f>_xll.StatCorrelationCoeff( ST_ORB,ST_FGA)</f>
        <v>0.27572512302308194</v>
      </c>
      <c r="E16" s="36">
        <f>_xll.StatCorrelationCoeff( ST_ORB,ST_3P)</f>
        <v>-0.3371726191835257</v>
      </c>
      <c r="F16" s="36">
        <f>_xll.StatCorrelationCoeff( ST_ORB,ST_3PA)</f>
        <v>-0.28486624005514261</v>
      </c>
      <c r="G16" s="36">
        <f>_xll.StatCorrelationCoeff( ST_ORB,ST_FT)</f>
        <v>0.18398743113113916</v>
      </c>
      <c r="H16" s="36">
        <f>_xll.StatCorrelationCoeff( ST_ORB,ST_FTA)</f>
        <v>0.27537617042155177</v>
      </c>
      <c r="I16" s="36">
        <v>1</v>
      </c>
      <c r="J16" s="36"/>
      <c r="K16" s="36"/>
      <c r="L16" s="36"/>
      <c r="M16" s="36"/>
      <c r="N16" s="36"/>
      <c r="O16" s="36"/>
      <c r="P16" s="36"/>
      <c r="Q16" s="36"/>
      <c r="R16" s="36"/>
      <c r="S16" s="36"/>
      <c r="T16" s="36"/>
      <c r="U16" s="36"/>
      <c r="V16" s="36"/>
      <c r="W16" s="36"/>
      <c r="X16" s="36"/>
      <c r="Y16" s="36"/>
      <c r="Z16" s="36"/>
      <c r="AA16" s="36"/>
      <c r="AB16" s="36"/>
      <c r="AC16" s="36"/>
      <c r="AD16" s="36"/>
    </row>
    <row r="17" spans="1:30" ht="15" customHeight="1" x14ac:dyDescent="0.25">
      <c r="A17" s="33" t="s">
        <v>9</v>
      </c>
      <c r="B17" s="39">
        <f>_xll.StatCorrelationCoeff( ST_DRB,ST_Wins)</f>
        <v>0.53130751182898495</v>
      </c>
      <c r="C17" s="36">
        <f>_xll.StatCorrelationCoeff( ST_DRB,ST_FG)</f>
        <v>0.3876116766517696</v>
      </c>
      <c r="D17" s="36">
        <f>_xll.StatCorrelationCoeff( ST_DRB,ST_FGA)</f>
        <v>0.20869805193643015</v>
      </c>
      <c r="E17" s="36">
        <f>_xll.StatCorrelationCoeff( ST_DRB,ST_3P)</f>
        <v>0.42502893052252483</v>
      </c>
      <c r="F17" s="36">
        <f>_xll.StatCorrelationCoeff( ST_DRB,ST_3PA)</f>
        <v>0.39913590257597298</v>
      </c>
      <c r="G17" s="36">
        <f>_xll.StatCorrelationCoeff( ST_DRB,ST_FT)</f>
        <v>-6.3119498329042109E-2</v>
      </c>
      <c r="H17" s="36">
        <f>_xll.StatCorrelationCoeff( ST_DRB,ST_FTA)</f>
        <v>-9.3178473419702076E-2</v>
      </c>
      <c r="I17" s="36">
        <f>_xll.StatCorrelationCoeff( ST_DRB,ST_ORB)</f>
        <v>-0.33338428900829031</v>
      </c>
      <c r="J17" s="36">
        <v>1</v>
      </c>
      <c r="K17" s="36"/>
      <c r="L17" s="36"/>
      <c r="M17" s="36"/>
      <c r="N17" s="36"/>
      <c r="O17" s="36"/>
      <c r="P17" s="36"/>
      <c r="Q17" s="36"/>
      <c r="R17" s="36"/>
      <c r="S17" s="36"/>
      <c r="T17" s="36"/>
      <c r="U17" s="36"/>
      <c r="V17" s="36"/>
      <c r="W17" s="36"/>
      <c r="X17" s="36"/>
      <c r="Y17" s="36"/>
      <c r="Z17" s="36"/>
      <c r="AA17" s="36"/>
      <c r="AB17" s="36"/>
      <c r="AC17" s="36"/>
      <c r="AD17" s="36"/>
    </row>
    <row r="18" spans="1:30" ht="15" customHeight="1" x14ac:dyDescent="0.25">
      <c r="A18" s="33" t="s">
        <v>10</v>
      </c>
      <c r="B18" s="39">
        <f>_xll.StatCorrelationCoeff( ST_AST,ST_Wins)</f>
        <v>0.35431632855497008</v>
      </c>
      <c r="C18" s="36">
        <f>_xll.StatCorrelationCoeff( ST_AST,ST_FG)</f>
        <v>0.60295824690401667</v>
      </c>
      <c r="D18" s="36">
        <f>_xll.StatCorrelationCoeff( ST_AST,ST_FGA)</f>
        <v>0.39466118858948529</v>
      </c>
      <c r="E18" s="36">
        <f>_xll.StatCorrelationCoeff( ST_AST,ST_3P)</f>
        <v>0.19660534665064786</v>
      </c>
      <c r="F18" s="36">
        <f>_xll.StatCorrelationCoeff( ST_AST,ST_3PA)</f>
        <v>0.15804801930450574</v>
      </c>
      <c r="G18" s="36">
        <f>_xll.StatCorrelationCoeff( ST_AST,ST_FT)</f>
        <v>-5.8091402935511287E-2</v>
      </c>
      <c r="H18" s="36">
        <f>_xll.StatCorrelationCoeff( ST_AST,ST_FTA)</f>
        <v>-0.11491278589155414</v>
      </c>
      <c r="I18" s="36">
        <f>_xll.StatCorrelationCoeff( ST_AST,ST_ORB)</f>
        <v>-0.14247315410864891</v>
      </c>
      <c r="J18" s="36">
        <f>_xll.StatCorrelationCoeff( ST_AST,ST_DRB)</f>
        <v>0.34088557731900182</v>
      </c>
      <c r="K18" s="36">
        <v>1</v>
      </c>
      <c r="L18" s="36"/>
      <c r="M18" s="36"/>
      <c r="N18" s="36"/>
      <c r="O18" s="36"/>
      <c r="P18" s="36"/>
      <c r="Q18" s="36"/>
      <c r="R18" s="36"/>
      <c r="S18" s="36"/>
      <c r="T18" s="36"/>
      <c r="U18" s="36"/>
      <c r="V18" s="36"/>
      <c r="W18" s="36"/>
      <c r="X18" s="36"/>
      <c r="Y18" s="36"/>
      <c r="Z18" s="36"/>
      <c r="AA18" s="36"/>
      <c r="AB18" s="36"/>
      <c r="AC18" s="36"/>
      <c r="AD18" s="36"/>
    </row>
    <row r="19" spans="1:30" ht="15" customHeight="1" x14ac:dyDescent="0.25">
      <c r="A19" s="33" t="s">
        <v>11</v>
      </c>
      <c r="B19" s="39">
        <f>_xll.StatCorrelationCoeff( ST_STL,ST_Wins)</f>
        <v>9.885996668436875E-2</v>
      </c>
      <c r="C19" s="36">
        <f>_xll.StatCorrelationCoeff( ST_STL,ST_FG)</f>
        <v>0.24139314893999339</v>
      </c>
      <c r="D19" s="36">
        <f>_xll.StatCorrelationCoeff( ST_STL,ST_FGA)</f>
        <v>0.33079299632800951</v>
      </c>
      <c r="E19" s="36">
        <f>_xll.StatCorrelationCoeff( ST_STL,ST_3P)</f>
        <v>-4.5352893204231824E-2</v>
      </c>
      <c r="F19" s="36">
        <f>_xll.StatCorrelationCoeff( ST_STL,ST_3PA)</f>
        <v>-1.3128068985235891E-2</v>
      </c>
      <c r="G19" s="36">
        <f>_xll.StatCorrelationCoeff( ST_STL,ST_FT)</f>
        <v>0.33733462271603276</v>
      </c>
      <c r="H19" s="36">
        <f>_xll.StatCorrelationCoeff( ST_STL,ST_FTA)</f>
        <v>0.33596420752578587</v>
      </c>
      <c r="I19" s="36">
        <f>_xll.StatCorrelationCoeff( ST_STL,ST_ORB)</f>
        <v>0.26330737593093212</v>
      </c>
      <c r="J19" s="36">
        <f>_xll.StatCorrelationCoeff( ST_STL,ST_DRB)</f>
        <v>-0.17091138603548453</v>
      </c>
      <c r="K19" s="36">
        <f>_xll.StatCorrelationCoeff( ST_STL,ST_AST)</f>
        <v>0.1674556379087366</v>
      </c>
      <c r="L19" s="36">
        <v>1</v>
      </c>
      <c r="M19" s="36"/>
      <c r="N19" s="36"/>
      <c r="O19" s="36"/>
      <c r="P19" s="36"/>
      <c r="Q19" s="36"/>
      <c r="R19" s="36"/>
      <c r="S19" s="36"/>
      <c r="T19" s="36"/>
      <c r="U19" s="36"/>
      <c r="V19" s="36"/>
      <c r="W19" s="36"/>
      <c r="X19" s="36"/>
      <c r="Y19" s="36"/>
      <c r="Z19" s="36"/>
      <c r="AA19" s="36"/>
      <c r="AB19" s="36"/>
      <c r="AC19" s="36"/>
      <c r="AD19" s="36"/>
    </row>
    <row r="20" spans="1:30" ht="15" customHeight="1" x14ac:dyDescent="0.25">
      <c r="A20" s="33" t="s">
        <v>12</v>
      </c>
      <c r="B20" s="39">
        <f>_xll.StatCorrelationCoeff( ST_BLK,ST_Wins)</f>
        <v>0.3094917895914005</v>
      </c>
      <c r="C20" s="36">
        <f>_xll.StatCorrelationCoeff( ST_BLK,ST_FG)</f>
        <v>0.15202329179914301</v>
      </c>
      <c r="D20" s="36">
        <f>_xll.StatCorrelationCoeff( ST_BLK,ST_FGA)</f>
        <v>-1.6476063664601671E-2</v>
      </c>
      <c r="E20" s="36">
        <f>_xll.StatCorrelationCoeff( ST_BLK,ST_3P)</f>
        <v>-0.10528396653124435</v>
      </c>
      <c r="F20" s="36">
        <f>_xll.StatCorrelationCoeff( ST_BLK,ST_3PA)</f>
        <v>-0.13517946674265796</v>
      </c>
      <c r="G20" s="36">
        <f>_xll.StatCorrelationCoeff( ST_BLK,ST_FT)</f>
        <v>7.7772096619534464E-2</v>
      </c>
      <c r="H20" s="36">
        <f>_xll.StatCorrelationCoeff( ST_BLK,ST_FTA)</f>
        <v>0.12357091602844246</v>
      </c>
      <c r="I20" s="36">
        <f>_xll.StatCorrelationCoeff( ST_BLK,ST_ORB)</f>
        <v>4.9580412070025864E-2</v>
      </c>
      <c r="J20" s="36">
        <f>_xll.StatCorrelationCoeff( ST_BLK,ST_DRB)</f>
        <v>0.20876023373791461</v>
      </c>
      <c r="K20" s="36">
        <f>_xll.StatCorrelationCoeff( ST_BLK,ST_AST)</f>
        <v>0.22424708763278051</v>
      </c>
      <c r="L20" s="36">
        <f>_xll.StatCorrelationCoeff( ST_BLK,ST_STL)</f>
        <v>0.13834382917953855</v>
      </c>
      <c r="M20" s="36">
        <v>1</v>
      </c>
      <c r="N20" s="36"/>
      <c r="O20" s="36"/>
      <c r="P20" s="36"/>
      <c r="Q20" s="36"/>
      <c r="R20" s="36"/>
      <c r="S20" s="36"/>
      <c r="T20" s="36"/>
      <c r="U20" s="36"/>
      <c r="V20" s="36"/>
      <c r="W20" s="36"/>
      <c r="X20" s="36"/>
      <c r="Y20" s="36"/>
      <c r="Z20" s="36"/>
      <c r="AA20" s="36"/>
      <c r="AB20" s="36"/>
      <c r="AC20" s="36"/>
      <c r="AD20" s="36"/>
    </row>
    <row r="21" spans="1:30" ht="15" customHeight="1" x14ac:dyDescent="0.25">
      <c r="A21" s="33" t="s">
        <v>13</v>
      </c>
      <c r="B21" s="39">
        <f>_xll.StatCorrelationCoeff( ST_TOV,ST_Wins)</f>
        <v>-0.44247685585159718</v>
      </c>
      <c r="C21" s="36">
        <f>_xll.StatCorrelationCoeff( ST_TOV,ST_FG)</f>
        <v>-0.14506269440550276</v>
      </c>
      <c r="D21" s="36">
        <f>_xll.StatCorrelationCoeff( ST_TOV,ST_FGA)</f>
        <v>-0.16469671053232984</v>
      </c>
      <c r="E21" s="36">
        <f>_xll.StatCorrelationCoeff( ST_TOV,ST_3P)</f>
        <v>-0.33236584626456123</v>
      </c>
      <c r="F21" s="36">
        <f>_xll.StatCorrelationCoeff( ST_TOV,ST_3PA)</f>
        <v>-0.3139367940224671</v>
      </c>
      <c r="G21" s="36">
        <f>_xll.StatCorrelationCoeff( ST_TOV,ST_FT)</f>
        <v>0.37376207804271938</v>
      </c>
      <c r="H21" s="36">
        <f>_xll.StatCorrelationCoeff( ST_TOV,ST_FTA)</f>
        <v>0.45540483797588205</v>
      </c>
      <c r="I21" s="36">
        <f>_xll.StatCorrelationCoeff( ST_TOV,ST_ORB)</f>
        <v>0.14825788489906139</v>
      </c>
      <c r="J21" s="36">
        <f>_xll.StatCorrelationCoeff( ST_TOV,ST_DRB)</f>
        <v>-0.11262851569699633</v>
      </c>
      <c r="K21" s="36">
        <f>_xll.StatCorrelationCoeff( ST_TOV,ST_AST)</f>
        <v>-9.9270504520389005E-2</v>
      </c>
      <c r="L21" s="36">
        <f>_xll.StatCorrelationCoeff( ST_TOV,ST_STL)</f>
        <v>0.11789079474524615</v>
      </c>
      <c r="M21" s="36">
        <f>_xll.StatCorrelationCoeff( ST_TOV,ST_BLK)</f>
        <v>-1.3387371772372855E-2</v>
      </c>
      <c r="N21" s="36">
        <v>1</v>
      </c>
      <c r="O21" s="36"/>
      <c r="P21" s="36"/>
      <c r="Q21" s="36"/>
      <c r="R21" s="36"/>
      <c r="S21" s="36"/>
      <c r="T21" s="36"/>
      <c r="U21" s="36"/>
      <c r="V21" s="36"/>
      <c r="W21" s="36"/>
      <c r="X21" s="36"/>
      <c r="Y21" s="36"/>
      <c r="Z21" s="36"/>
      <c r="AA21" s="36"/>
      <c r="AB21" s="36"/>
      <c r="AC21" s="36"/>
      <c r="AD21" s="36"/>
    </row>
    <row r="22" spans="1:30" ht="15" customHeight="1" x14ac:dyDescent="0.25">
      <c r="A22" s="33" t="s">
        <v>14</v>
      </c>
      <c r="B22" s="39">
        <f>_xll.StatCorrelationCoeff( ST_PF,ST_Wins)</f>
        <v>-0.31193784080536802</v>
      </c>
      <c r="C22" s="36">
        <f>_xll.StatCorrelationCoeff( ST_PF,ST_FG)</f>
        <v>-0.27005296959152614</v>
      </c>
      <c r="D22" s="36">
        <f>_xll.StatCorrelationCoeff( ST_PF,ST_FGA)</f>
        <v>-0.16937201878549801</v>
      </c>
      <c r="E22" s="36">
        <f>_xll.StatCorrelationCoeff( ST_PF,ST_3P)</f>
        <v>-0.30697177583731405</v>
      </c>
      <c r="F22" s="36">
        <f>_xll.StatCorrelationCoeff( ST_PF,ST_3PA)</f>
        <v>-0.28165196246893565</v>
      </c>
      <c r="G22" s="36">
        <f>_xll.StatCorrelationCoeff( ST_PF,ST_FT)</f>
        <v>0.41002644556417062</v>
      </c>
      <c r="H22" s="36">
        <f>_xll.StatCorrelationCoeff( ST_PF,ST_FTA)</f>
        <v>0.45193848250819385</v>
      </c>
      <c r="I22" s="36">
        <f>_xll.StatCorrelationCoeff( ST_PF,ST_ORB)</f>
        <v>0.26198098596987651</v>
      </c>
      <c r="J22" s="36">
        <f>_xll.StatCorrelationCoeff( ST_PF,ST_DRB)</f>
        <v>-0.33770624357164319</v>
      </c>
      <c r="K22" s="36">
        <f>_xll.StatCorrelationCoeff( ST_PF,ST_AST)</f>
        <v>-0.11295433968639171</v>
      </c>
      <c r="L22" s="36">
        <f>_xll.StatCorrelationCoeff( ST_PF,ST_STL)</f>
        <v>0.16325589187611322</v>
      </c>
      <c r="M22" s="36">
        <f>_xll.StatCorrelationCoeff( ST_PF,ST_BLK)</f>
        <v>-0.14614927652236703</v>
      </c>
      <c r="N22" s="36">
        <f>_xll.StatCorrelationCoeff( ST_PF,ST_TOV)</f>
        <v>0.55814391941437402</v>
      </c>
      <c r="O22" s="36">
        <v>1</v>
      </c>
      <c r="P22" s="36"/>
      <c r="Q22" s="36"/>
      <c r="R22" s="36"/>
      <c r="S22" s="36"/>
      <c r="T22" s="36"/>
      <c r="U22" s="36"/>
      <c r="V22" s="36"/>
      <c r="W22" s="36"/>
      <c r="X22" s="36"/>
      <c r="Y22" s="36"/>
      <c r="Z22" s="36"/>
      <c r="AA22" s="36"/>
      <c r="AB22" s="36"/>
      <c r="AC22" s="36"/>
      <c r="AD22" s="36"/>
    </row>
    <row r="23" spans="1:30" ht="15" customHeight="1" x14ac:dyDescent="0.25">
      <c r="A23" s="33" t="s">
        <v>15</v>
      </c>
      <c r="B23" s="39">
        <f>_xll.StatCorrelationCoeff( ST_PTS,ST_Wins)</f>
        <v>0.38537018656510719</v>
      </c>
      <c r="C23" s="36">
        <f>_xll.StatCorrelationCoeff( ST_PTS,ST_FG)</f>
        <v>0.90167310051212846</v>
      </c>
      <c r="D23" s="36">
        <f>_xll.StatCorrelationCoeff( ST_PTS,ST_FGA)</f>
        <v>0.64971084318595318</v>
      </c>
      <c r="E23" s="36">
        <f>_xll.StatCorrelationCoeff( ST_PTS,ST_3P)</f>
        <v>0.56107549176721438</v>
      </c>
      <c r="F23" s="36">
        <f>_xll.StatCorrelationCoeff( ST_PTS,ST_3PA)</f>
        <v>0.5222217747481317</v>
      </c>
      <c r="G23" s="36">
        <f>_xll.StatCorrelationCoeff( ST_PTS,ST_FT)</f>
        <v>0.30198070352868511</v>
      </c>
      <c r="H23" s="36">
        <f>_xll.StatCorrelationCoeff( ST_PTS,ST_FTA)</f>
        <v>0.18976918280590097</v>
      </c>
      <c r="I23" s="36">
        <f>_xll.StatCorrelationCoeff( ST_PTS,ST_ORB)</f>
        <v>-7.0930850180261781E-2</v>
      </c>
      <c r="J23" s="36">
        <f>_xll.StatCorrelationCoeff( ST_PTS,ST_DRB)</f>
        <v>0.41601902031473009</v>
      </c>
      <c r="K23" s="36">
        <f>_xll.StatCorrelationCoeff( ST_PTS,ST_AST)</f>
        <v>0.50408506728509805</v>
      </c>
      <c r="L23" s="36">
        <f>_xll.StatCorrelationCoeff( ST_PTS,ST_STL)</f>
        <v>0.30285832610051333</v>
      </c>
      <c r="M23" s="36">
        <f>_xll.StatCorrelationCoeff( ST_PTS,ST_BLK)</f>
        <v>0.11086998501351722</v>
      </c>
      <c r="N23" s="36">
        <f>_xll.StatCorrelationCoeff( ST_PTS,ST_TOV)</f>
        <v>-7.5658904215352096E-2</v>
      </c>
      <c r="O23" s="36">
        <f>_xll.StatCorrelationCoeff( ST_PTS,ST_PF)</f>
        <v>-0.14786936865469369</v>
      </c>
      <c r="P23" s="36">
        <v>1</v>
      </c>
      <c r="Q23" s="36"/>
      <c r="R23" s="36"/>
      <c r="S23" s="36"/>
      <c r="T23" s="36"/>
      <c r="U23" s="36"/>
      <c r="V23" s="36"/>
      <c r="W23" s="36"/>
      <c r="X23" s="36"/>
      <c r="Y23" s="36"/>
      <c r="Z23" s="36"/>
      <c r="AA23" s="36"/>
      <c r="AB23" s="36"/>
      <c r="AC23" s="36"/>
      <c r="AD23" s="36"/>
    </row>
    <row r="24" spans="1:30" ht="15" customHeight="1" x14ac:dyDescent="0.25">
      <c r="A24" s="33" t="s">
        <v>32</v>
      </c>
      <c r="B24" s="39">
        <f>_xll.StatCorrelationCoeff( ST_OFG,ST_Wins)</f>
        <v>-0.38516862800448604</v>
      </c>
      <c r="C24" s="36">
        <f>_xll.StatCorrelationCoeff( ST_OFG,ST_FG)</f>
        <v>0.60588524108549335</v>
      </c>
      <c r="D24" s="36">
        <f>_xll.StatCorrelationCoeff( ST_OFG,ST_FGA)</f>
        <v>0.68163598619353272</v>
      </c>
      <c r="E24" s="36">
        <f>_xll.StatCorrelationCoeff( ST_OFG,ST_3P)</f>
        <v>0.26134145856162294</v>
      </c>
      <c r="F24" s="36">
        <f>_xll.StatCorrelationCoeff( ST_OFG,ST_3PA)</f>
        <v>0.27329091530718608</v>
      </c>
      <c r="G24" s="36">
        <f>_xll.StatCorrelationCoeff( ST_OFG,ST_FT)</f>
        <v>7.591753318293161E-2</v>
      </c>
      <c r="H24" s="36">
        <f>_xll.StatCorrelationCoeff( ST_OFG,ST_FTA)</f>
        <v>-4.7268487047265424E-3</v>
      </c>
      <c r="I24" s="36">
        <f>_xll.StatCorrelationCoeff( ST_OFG,ST_ORB)</f>
        <v>2.9806337450423541E-3</v>
      </c>
      <c r="J24" s="36">
        <f>_xll.StatCorrelationCoeff( ST_OFG,ST_DRB)</f>
        <v>1.8125153874324691E-2</v>
      </c>
      <c r="K24" s="36">
        <f>_xll.StatCorrelationCoeff( ST_OFG,ST_AST)</f>
        <v>0.16001914301719986</v>
      </c>
      <c r="L24" s="36">
        <f>_xll.StatCorrelationCoeff( ST_OFG,ST_STL)</f>
        <v>9.2149648278576718E-2</v>
      </c>
      <c r="M24" s="36">
        <f>_xll.StatCorrelationCoeff( ST_OFG,ST_BLK)</f>
        <v>-9.3752404697824337E-2</v>
      </c>
      <c r="N24" s="36">
        <f>_xll.StatCorrelationCoeff( ST_OFG,ST_TOV)</f>
        <v>0.11617675195248871</v>
      </c>
      <c r="O24" s="36">
        <f>_xll.StatCorrelationCoeff( ST_OFG,ST_PF)</f>
        <v>-0.24656675838599004</v>
      </c>
      <c r="P24" s="36">
        <f>_xll.StatCorrelationCoeff( ST_OFG,ST_PTS)</f>
        <v>0.58181317423772949</v>
      </c>
      <c r="Q24" s="36">
        <v>1</v>
      </c>
      <c r="R24" s="36"/>
      <c r="S24" s="36"/>
      <c r="T24" s="36"/>
      <c r="U24" s="36"/>
      <c r="V24" s="36"/>
      <c r="W24" s="36"/>
      <c r="X24" s="36"/>
      <c r="Y24" s="36"/>
      <c r="Z24" s="36"/>
      <c r="AA24" s="36"/>
      <c r="AB24" s="36"/>
      <c r="AC24" s="36"/>
      <c r="AD24" s="36"/>
    </row>
    <row r="25" spans="1:30" ht="15" customHeight="1" x14ac:dyDescent="0.25">
      <c r="A25" s="33" t="s">
        <v>33</v>
      </c>
      <c r="B25" s="39">
        <f>_xll.StatCorrelationCoeff( ST_OFGA,ST_Wins)</f>
        <v>1.1517939510584578E-2</v>
      </c>
      <c r="C25" s="36">
        <f>_xll.StatCorrelationCoeff( ST_OFGA,ST_FG)</f>
        <v>0.70811677690914565</v>
      </c>
      <c r="D25" s="36">
        <f>_xll.StatCorrelationCoeff( ST_OFGA,ST_FGA)</f>
        <v>0.68036885608739295</v>
      </c>
      <c r="E25" s="36">
        <f>_xll.StatCorrelationCoeff( ST_OFGA,ST_3P)</f>
        <v>0.42155407104787596</v>
      </c>
      <c r="F25" s="36">
        <f>_xll.StatCorrelationCoeff( ST_OFGA,ST_3PA)</f>
        <v>0.41408242129206146</v>
      </c>
      <c r="G25" s="36">
        <f>_xll.StatCorrelationCoeff( ST_OFGA,ST_FT)</f>
        <v>5.3110058884846309E-2</v>
      </c>
      <c r="H25" s="36">
        <f>_xll.StatCorrelationCoeff( ST_OFGA,ST_FTA)</f>
        <v>-2.1576276933706156E-2</v>
      </c>
      <c r="I25" s="36">
        <f>_xll.StatCorrelationCoeff( ST_OFGA,ST_ORB)</f>
        <v>-0.11358563150325499</v>
      </c>
      <c r="J25" s="36">
        <f>_xll.StatCorrelationCoeff( ST_OFGA,ST_DRB)</f>
        <v>0.47285579853813714</v>
      </c>
      <c r="K25" s="36">
        <f>_xll.StatCorrelationCoeff( ST_OFGA,ST_AST)</f>
        <v>0.36159971984130906</v>
      </c>
      <c r="L25" s="36">
        <f>_xll.StatCorrelationCoeff( ST_OFGA,ST_STL)</f>
        <v>7.7755093565070765E-2</v>
      </c>
      <c r="M25" s="36">
        <f>_xll.StatCorrelationCoeff( ST_OFGA,ST_BLK)</f>
        <v>0.17421710649024089</v>
      </c>
      <c r="N25" s="36">
        <f>_xll.StatCorrelationCoeff( ST_OFGA,ST_TOV)</f>
        <v>3.4478997934213891E-2</v>
      </c>
      <c r="O25" s="36">
        <f>_xll.StatCorrelationCoeff( ST_OFGA,ST_PF)</f>
        <v>-0.38881263035967084</v>
      </c>
      <c r="P25" s="36">
        <f>_xll.StatCorrelationCoeff( ST_OFGA,ST_PTS)</f>
        <v>0.70555457481341566</v>
      </c>
      <c r="Q25" s="36">
        <f>_xll.StatCorrelationCoeff( ST_OFGA,ST_OFG)</f>
        <v>0.82504489757441102</v>
      </c>
      <c r="R25" s="36">
        <v>1</v>
      </c>
      <c r="S25" s="36"/>
      <c r="T25" s="36"/>
      <c r="U25" s="36"/>
      <c r="V25" s="36"/>
      <c r="W25" s="36"/>
      <c r="X25" s="36"/>
      <c r="Y25" s="36"/>
      <c r="Z25" s="36"/>
      <c r="AA25" s="36"/>
      <c r="AB25" s="36"/>
      <c r="AC25" s="36"/>
      <c r="AD25" s="36"/>
    </row>
    <row r="26" spans="1:30" ht="15" customHeight="1" x14ac:dyDescent="0.25">
      <c r="A26" s="33" t="s">
        <v>34</v>
      </c>
      <c r="B26" s="39">
        <f>_xll.StatCorrelationCoeff( ST_O3P,ST_Wins)</f>
        <v>-0.35630597141291653</v>
      </c>
      <c r="C26" s="36">
        <f>_xll.StatCorrelationCoeff( ST_O3P,ST_FG)</f>
        <v>0.34201941835419841</v>
      </c>
      <c r="D26" s="36">
        <f>_xll.StatCorrelationCoeff( ST_O3P,ST_FGA)</f>
        <v>0.40331739030412928</v>
      </c>
      <c r="E26" s="36">
        <f>_xll.StatCorrelationCoeff( ST_O3P,ST_3P)</f>
        <v>0.13447787963324745</v>
      </c>
      <c r="F26" s="36">
        <f>_xll.StatCorrelationCoeff( ST_O3P,ST_3PA)</f>
        <v>0.16640520926780072</v>
      </c>
      <c r="G26" s="36">
        <f>_xll.StatCorrelationCoeff( ST_O3P,ST_FT)</f>
        <v>9.1223737311411784E-2</v>
      </c>
      <c r="H26" s="36">
        <f>_xll.StatCorrelationCoeff( ST_O3P,ST_FTA)</f>
        <v>2.2749560573578409E-2</v>
      </c>
      <c r="I26" s="36">
        <f>_xll.StatCorrelationCoeff( ST_O3P,ST_ORB)</f>
        <v>-2.0503025354267901E-2</v>
      </c>
      <c r="J26" s="36">
        <f>_xll.StatCorrelationCoeff( ST_O3P,ST_DRB)</f>
        <v>-2.8828948316873923E-2</v>
      </c>
      <c r="K26" s="36">
        <f>_xll.StatCorrelationCoeff( ST_O3P,ST_AST)</f>
        <v>4.1588582270430996E-2</v>
      </c>
      <c r="L26" s="36">
        <f>_xll.StatCorrelationCoeff( ST_O3P,ST_STL)</f>
        <v>0.14182389222610911</v>
      </c>
      <c r="M26" s="36">
        <f>_xll.StatCorrelationCoeff( ST_O3P,ST_BLK)</f>
        <v>-0.25486084260505992</v>
      </c>
      <c r="N26" s="36">
        <f>_xll.StatCorrelationCoeff( ST_O3P,ST_TOV)</f>
        <v>0.14456174457469975</v>
      </c>
      <c r="O26" s="36">
        <f>_xll.StatCorrelationCoeff( ST_O3P,ST_PF)</f>
        <v>-8.6581396505885422E-2</v>
      </c>
      <c r="P26" s="36">
        <f>_xll.StatCorrelationCoeff( ST_O3P,ST_PTS)</f>
        <v>0.34321525539240783</v>
      </c>
      <c r="Q26" s="36">
        <f>_xll.StatCorrelationCoeff( ST_O3P,ST_OFG)</f>
        <v>0.54300159516915636</v>
      </c>
      <c r="R26" s="36">
        <f>_xll.StatCorrelationCoeff( ST_O3P,ST_OFGA)</f>
        <v>0.37035558739569957</v>
      </c>
      <c r="S26" s="36">
        <v>1</v>
      </c>
      <c r="T26" s="36"/>
      <c r="U26" s="36"/>
      <c r="V26" s="36"/>
      <c r="W26" s="36"/>
      <c r="X26" s="36"/>
      <c r="Y26" s="36"/>
      <c r="Z26" s="36"/>
      <c r="AA26" s="36"/>
      <c r="AB26" s="36"/>
      <c r="AC26" s="36"/>
      <c r="AD26" s="36"/>
    </row>
    <row r="27" spans="1:30" ht="15" customHeight="1" x14ac:dyDescent="0.25">
      <c r="A27" s="33" t="s">
        <v>35</v>
      </c>
      <c r="B27" s="39">
        <f>_xll.StatCorrelationCoeff( ST_O3PA,ST_Wins)</f>
        <v>-0.2268516124168147</v>
      </c>
      <c r="C27" s="36">
        <f>_xll.StatCorrelationCoeff( ST_O3PA,ST_FG)</f>
        <v>0.38131956888248331</v>
      </c>
      <c r="D27" s="36">
        <f>_xll.StatCorrelationCoeff( ST_O3PA,ST_FGA)</f>
        <v>0.39473897684392439</v>
      </c>
      <c r="E27" s="36">
        <f>_xll.StatCorrelationCoeff( ST_O3PA,ST_3P)</f>
        <v>0.16958813768271283</v>
      </c>
      <c r="F27" s="36">
        <f>_xll.StatCorrelationCoeff( ST_O3PA,ST_3PA)</f>
        <v>0.19408537712949026</v>
      </c>
      <c r="G27" s="36">
        <f>_xll.StatCorrelationCoeff( ST_O3PA,ST_FT)</f>
        <v>9.7768885123792448E-2</v>
      </c>
      <c r="H27" s="36">
        <f>_xll.StatCorrelationCoeff( ST_O3PA,ST_FTA)</f>
        <v>3.1787589120988412E-2</v>
      </c>
      <c r="I27" s="36">
        <f>_xll.StatCorrelationCoeff( ST_O3PA,ST_ORB)</f>
        <v>-6.2890165308798998E-2</v>
      </c>
      <c r="J27" s="36">
        <f>_xll.StatCorrelationCoeff( ST_O3PA,ST_DRB)</f>
        <v>7.4701983420856446E-2</v>
      </c>
      <c r="K27" s="36">
        <f>_xll.StatCorrelationCoeff( ST_O3PA,ST_AST)</f>
        <v>9.7063290932210791E-2</v>
      </c>
      <c r="L27" s="36">
        <f>_xll.StatCorrelationCoeff( ST_O3PA,ST_STL)</f>
        <v>0.18714019691444034</v>
      </c>
      <c r="M27" s="36">
        <f>_xll.StatCorrelationCoeff( ST_O3PA,ST_BLK)</f>
        <v>-0.24731391107347697</v>
      </c>
      <c r="N27" s="36">
        <f>_xll.StatCorrelationCoeff( ST_O3PA,ST_TOV)</f>
        <v>0.11130892572200529</v>
      </c>
      <c r="O27" s="36">
        <f>_xll.StatCorrelationCoeff( ST_O3PA,ST_PF)</f>
        <v>-0.15148727499697479</v>
      </c>
      <c r="P27" s="36">
        <f>_xll.StatCorrelationCoeff( ST_O3PA,ST_PTS)</f>
        <v>0.38781488914647633</v>
      </c>
      <c r="Q27" s="36">
        <f>_xll.StatCorrelationCoeff( ST_O3PA,ST_OFG)</f>
        <v>0.49939303876166025</v>
      </c>
      <c r="R27" s="36">
        <f>_xll.StatCorrelationCoeff( ST_O3PA,ST_OFGA)</f>
        <v>0.40350181007348063</v>
      </c>
      <c r="S27" s="36">
        <f>_xll.StatCorrelationCoeff( ST_O3PA,ST_O3P)</f>
        <v>0.95867605725619609</v>
      </c>
      <c r="T27" s="36">
        <v>1</v>
      </c>
      <c r="U27" s="36"/>
      <c r="V27" s="36"/>
      <c r="W27" s="36"/>
      <c r="X27" s="36"/>
      <c r="Y27" s="36"/>
      <c r="Z27" s="36"/>
      <c r="AA27" s="36"/>
      <c r="AB27" s="36"/>
      <c r="AC27" s="36"/>
      <c r="AD27" s="36"/>
    </row>
    <row r="28" spans="1:30" ht="15" customHeight="1" x14ac:dyDescent="0.25">
      <c r="A28" s="33" t="s">
        <v>36</v>
      </c>
      <c r="B28" s="39">
        <f>_xll.StatCorrelationCoeff( ST_OFT,ST_Wins)</f>
        <v>-0.35266478180413363</v>
      </c>
      <c r="C28" s="36">
        <f>_xll.StatCorrelationCoeff( ST_OFT,ST_FG)</f>
        <v>-9.3830564034725283E-2</v>
      </c>
      <c r="D28" s="36">
        <f>_xll.StatCorrelationCoeff( ST_OFT,ST_FGA)</f>
        <v>1.8448541708373324E-2</v>
      </c>
      <c r="E28" s="36">
        <f>_xll.StatCorrelationCoeff( ST_OFT,ST_3P)</f>
        <v>-0.20929623339075035</v>
      </c>
      <c r="F28" s="36">
        <f>_xll.StatCorrelationCoeff( ST_OFT,ST_3PA)</f>
        <v>-0.18697453915847148</v>
      </c>
      <c r="G28" s="36">
        <f>_xll.StatCorrelationCoeff( ST_OFT,ST_FT)</f>
        <v>0.40408684085440616</v>
      </c>
      <c r="H28" s="36">
        <f>_xll.StatCorrelationCoeff( ST_OFT,ST_FTA)</f>
        <v>0.40701610074821498</v>
      </c>
      <c r="I28" s="36">
        <f>_xll.StatCorrelationCoeff( ST_OFT,ST_ORB)</f>
        <v>0.22584399851542963</v>
      </c>
      <c r="J28" s="36">
        <f>_xll.StatCorrelationCoeff( ST_OFT,ST_DRB)</f>
        <v>-0.27915526543121366</v>
      </c>
      <c r="K28" s="36">
        <f>_xll.StatCorrelationCoeff( ST_OFT,ST_AST)</f>
        <v>-3.8455610045402058E-2</v>
      </c>
      <c r="L28" s="36">
        <f>_xll.StatCorrelationCoeff( ST_OFT,ST_STL)</f>
        <v>0.18657638603377869</v>
      </c>
      <c r="M28" s="36">
        <f>_xll.StatCorrelationCoeff( ST_OFT,ST_BLK)</f>
        <v>-0.1122063773843778</v>
      </c>
      <c r="N28" s="36">
        <f>_xll.StatCorrelationCoeff( ST_OFT,ST_TOV)</f>
        <v>0.50145295100643084</v>
      </c>
      <c r="O28" s="36">
        <f>_xll.StatCorrelationCoeff( ST_OFT,ST_PF)</f>
        <v>0.88444682395287222</v>
      </c>
      <c r="P28" s="36">
        <f>_xll.StatCorrelationCoeff( ST_OFT,ST_PTS)</f>
        <v>1.7615224595737139E-2</v>
      </c>
      <c r="Q28" s="36">
        <f>_xll.StatCorrelationCoeff( ST_OFT,ST_OFG)</f>
        <v>-0.10049380666807213</v>
      </c>
      <c r="R28" s="36">
        <f>_xll.StatCorrelationCoeff( ST_OFT,ST_OFGA)</f>
        <v>-0.27204899701881163</v>
      </c>
      <c r="S28" s="36">
        <f>_xll.StatCorrelationCoeff( ST_OFT,ST_O3P)</f>
        <v>9.7102859402231359E-2</v>
      </c>
      <c r="T28" s="36">
        <f>_xll.StatCorrelationCoeff( ST_OFT,ST_O3PA)</f>
        <v>8.6887768818506902E-3</v>
      </c>
      <c r="U28" s="36">
        <v>1</v>
      </c>
      <c r="V28" s="36"/>
      <c r="W28" s="36"/>
      <c r="X28" s="36"/>
      <c r="Y28" s="36"/>
      <c r="Z28" s="36"/>
      <c r="AA28" s="36"/>
      <c r="AB28" s="36"/>
      <c r="AC28" s="36"/>
      <c r="AD28" s="36"/>
    </row>
    <row r="29" spans="1:30" ht="15" customHeight="1" x14ac:dyDescent="0.25">
      <c r="A29" s="33" t="s">
        <v>37</v>
      </c>
      <c r="B29" s="39">
        <f>_xll.StatCorrelationCoeff( ST_OFTA,ST_Wins)</f>
        <v>-0.32565705710239384</v>
      </c>
      <c r="C29" s="36">
        <f>_xll.StatCorrelationCoeff( ST_OFTA,ST_FG)</f>
        <v>-0.11455522119901315</v>
      </c>
      <c r="D29" s="36">
        <f>_xll.StatCorrelationCoeff( ST_OFTA,ST_FGA)</f>
        <v>-6.3069631925876E-3</v>
      </c>
      <c r="E29" s="36">
        <f>_xll.StatCorrelationCoeff( ST_OFTA,ST_3P)</f>
        <v>-0.21757980333889604</v>
      </c>
      <c r="F29" s="36">
        <f>_xll.StatCorrelationCoeff( ST_OFTA,ST_3PA)</f>
        <v>-0.19263790367337211</v>
      </c>
      <c r="G29" s="36">
        <f>_xll.StatCorrelationCoeff( ST_OFTA,ST_FT)</f>
        <v>0.41368273402431199</v>
      </c>
      <c r="H29" s="36">
        <f>_xll.StatCorrelationCoeff( ST_OFTA,ST_FTA)</f>
        <v>0.43151930501210251</v>
      </c>
      <c r="I29" s="36">
        <f>_xll.StatCorrelationCoeff( ST_OFTA,ST_ORB)</f>
        <v>0.21253162180748184</v>
      </c>
      <c r="J29" s="36">
        <f>_xll.StatCorrelationCoeff( ST_OFTA,ST_DRB)</f>
        <v>-0.25105069127384139</v>
      </c>
      <c r="K29" s="36">
        <f>_xll.StatCorrelationCoeff( ST_OFTA,ST_AST)</f>
        <v>-2.890531548393617E-2</v>
      </c>
      <c r="L29" s="36">
        <f>_xll.StatCorrelationCoeff( ST_OFTA,ST_STL)</f>
        <v>0.20557032277792858</v>
      </c>
      <c r="M29" s="36">
        <f>_xll.StatCorrelationCoeff( ST_OFTA,ST_BLK)</f>
        <v>-9.8823968174906393E-2</v>
      </c>
      <c r="N29" s="36">
        <f>_xll.StatCorrelationCoeff( ST_OFTA,ST_TOV)</f>
        <v>0.52540385842032422</v>
      </c>
      <c r="O29" s="36">
        <f>_xll.StatCorrelationCoeff( ST_OFTA,ST_PF)</f>
        <v>0.9125149105256164</v>
      </c>
      <c r="P29" s="36">
        <f>_xll.StatCorrelationCoeff( ST_OFTA,ST_PTS)</f>
        <v>2.7911713710433383E-3</v>
      </c>
      <c r="Q29" s="36">
        <f>_xll.StatCorrelationCoeff( ST_OFTA,ST_OFG)</f>
        <v>-0.12585040162449973</v>
      </c>
      <c r="R29" s="36">
        <f>_xll.StatCorrelationCoeff( ST_OFTA,ST_OFGA)</f>
        <v>-0.27832297422617952</v>
      </c>
      <c r="S29" s="36">
        <f>_xll.StatCorrelationCoeff( ST_OFTA,ST_O3P)</f>
        <v>3.1887578041591577E-2</v>
      </c>
      <c r="T29" s="36">
        <f>_xll.StatCorrelationCoeff( ST_OFTA,ST_O3PA)</f>
        <v>-4.8026873927414497E-2</v>
      </c>
      <c r="U29" s="36">
        <f>_xll.StatCorrelationCoeff( ST_OFTA,ST_OFT)</f>
        <v>0.98208202188302751</v>
      </c>
      <c r="V29" s="36">
        <v>1</v>
      </c>
      <c r="W29" s="36"/>
      <c r="X29" s="36"/>
      <c r="Y29" s="36"/>
      <c r="Z29" s="36"/>
      <c r="AA29" s="36"/>
      <c r="AB29" s="36"/>
      <c r="AC29" s="36"/>
      <c r="AD29" s="36"/>
    </row>
    <row r="30" spans="1:30" ht="15" customHeight="1" x14ac:dyDescent="0.25">
      <c r="A30" s="33" t="s">
        <v>38</v>
      </c>
      <c r="B30" s="39">
        <f>_xll.StatCorrelationCoeff( ST_OORB,ST_Wins)</f>
        <v>-0.10316591182111616</v>
      </c>
      <c r="C30" s="36">
        <f>_xll.StatCorrelationCoeff( ST_OORB,ST_FG)</f>
        <v>0.36129042916545501</v>
      </c>
      <c r="D30" s="36">
        <f>_xll.StatCorrelationCoeff( ST_OORB,ST_FGA)</f>
        <v>0.41804984148397395</v>
      </c>
      <c r="E30" s="36">
        <f>_xll.StatCorrelationCoeff( ST_OORB,ST_3P)</f>
        <v>0.1122463739229229</v>
      </c>
      <c r="F30" s="36">
        <f>_xll.StatCorrelationCoeff( ST_OORB,ST_3PA)</f>
        <v>0.11846141734486684</v>
      </c>
      <c r="G30" s="36">
        <f>_xll.StatCorrelationCoeff( ST_OORB,ST_FT)</f>
        <v>0.17419709322039756</v>
      </c>
      <c r="H30" s="36">
        <f>_xll.StatCorrelationCoeff( ST_OORB,ST_FTA)</f>
        <v>0.14418689755139344</v>
      </c>
      <c r="I30" s="36">
        <f>_xll.StatCorrelationCoeff( ST_OORB,ST_ORB)</f>
        <v>0.15399549119436842</v>
      </c>
      <c r="J30" s="36">
        <f>_xll.StatCorrelationCoeff( ST_OORB,ST_DRB)</f>
        <v>-6.4907092753648754E-2</v>
      </c>
      <c r="K30" s="36">
        <f>_xll.StatCorrelationCoeff( ST_OORB,ST_AST)</f>
        <v>0.2116931592905639</v>
      </c>
      <c r="L30" s="36">
        <f>_xll.StatCorrelationCoeff( ST_OORB,ST_STL)</f>
        <v>0.30251779036029186</v>
      </c>
      <c r="M30" s="36">
        <f>_xll.StatCorrelationCoeff( ST_OORB,ST_BLK)</f>
        <v>0.30497638532453597</v>
      </c>
      <c r="N30" s="36">
        <f>_xll.StatCorrelationCoeff( ST_OORB,ST_TOV)</f>
        <v>0.17565278189115219</v>
      </c>
      <c r="O30" s="36">
        <f>_xll.StatCorrelationCoeff( ST_OORB,ST_PF)</f>
        <v>1.1292178454319992E-3</v>
      </c>
      <c r="P30" s="36">
        <f>_xll.StatCorrelationCoeff( ST_OORB,ST_PTS)</f>
        <v>0.38332790216208251</v>
      </c>
      <c r="Q30" s="36">
        <f>_xll.StatCorrelationCoeff( ST_OORB,ST_OFG)</f>
        <v>0.52821410347202424</v>
      </c>
      <c r="R30" s="36">
        <f>_xll.StatCorrelationCoeff( ST_OORB,ST_OFGA)</f>
        <v>0.64811806281168016</v>
      </c>
      <c r="S30" s="36">
        <f>_xll.StatCorrelationCoeff( ST_OORB,ST_O3P)</f>
        <v>9.8216768395791534E-2</v>
      </c>
      <c r="T30" s="36">
        <f>_xll.StatCorrelationCoeff( ST_OORB,ST_O3PA)</f>
        <v>0.10743149219800065</v>
      </c>
      <c r="U30" s="36">
        <f>_xll.StatCorrelationCoeff( ST_OORB,ST_OFT)</f>
        <v>4.5164795815762244E-5</v>
      </c>
      <c r="V30" s="36">
        <f>_xll.StatCorrelationCoeff( ST_OORB,ST_OFTA)</f>
        <v>2.0474906280106848E-2</v>
      </c>
      <c r="W30" s="36">
        <v>1</v>
      </c>
      <c r="X30" s="36"/>
      <c r="Y30" s="36"/>
      <c r="Z30" s="36"/>
      <c r="AA30" s="36"/>
      <c r="AB30" s="36"/>
      <c r="AC30" s="36"/>
      <c r="AD30" s="36"/>
    </row>
    <row r="31" spans="1:30" ht="15" customHeight="1" x14ac:dyDescent="0.25">
      <c r="A31" s="33" t="s">
        <v>39</v>
      </c>
      <c r="B31" s="39">
        <f>_xll.StatCorrelationCoeff( ST_ODRB,ST_Wins)</f>
        <v>-0.26698930026918172</v>
      </c>
      <c r="C31" s="36">
        <f>_xll.StatCorrelationCoeff( ST_ODRB,ST_FG)</f>
        <v>0.28968279803316099</v>
      </c>
      <c r="D31" s="36">
        <f>_xll.StatCorrelationCoeff( ST_ODRB,ST_FGA)</f>
        <v>0.65281103852334055</v>
      </c>
      <c r="E31" s="36">
        <f>_xll.StatCorrelationCoeff( ST_ODRB,ST_3P)</f>
        <v>0.46430137215444406</v>
      </c>
      <c r="F31" s="36">
        <f>_xll.StatCorrelationCoeff( ST_ODRB,ST_3PA)</f>
        <v>0.50987337439473124</v>
      </c>
      <c r="G31" s="36">
        <f>_xll.StatCorrelationCoeff( ST_ODRB,ST_FT)</f>
        <v>-0.23416864424274716</v>
      </c>
      <c r="H31" s="36">
        <f>_xll.StatCorrelationCoeff( ST_ODRB,ST_FTA)</f>
        <v>-0.26397833653424363</v>
      </c>
      <c r="I31" s="36">
        <f>_xll.StatCorrelationCoeff( ST_ODRB,ST_ORB)</f>
        <v>-0.23707440998772714</v>
      </c>
      <c r="J31" s="36">
        <f>_xll.StatCorrelationCoeff( ST_ODRB,ST_DRB)</f>
        <v>0.25119180272262315</v>
      </c>
      <c r="K31" s="36">
        <f>_xll.StatCorrelationCoeff( ST_ODRB,ST_AST)</f>
        <v>0.1526371448168371</v>
      </c>
      <c r="L31" s="36">
        <f>_xll.StatCorrelationCoeff( ST_ODRB,ST_STL)</f>
        <v>0.15432338688195527</v>
      </c>
      <c r="M31" s="36">
        <f>_xll.StatCorrelationCoeff( ST_ODRB,ST_BLK)</f>
        <v>-0.16403895743044242</v>
      </c>
      <c r="N31" s="36">
        <f>_xll.StatCorrelationCoeff( ST_ODRB,ST_TOV)</f>
        <v>-0.15498762549995043</v>
      </c>
      <c r="O31" s="36">
        <f>_xll.StatCorrelationCoeff( ST_ODRB,ST_PF)</f>
        <v>-0.17037795099837375</v>
      </c>
      <c r="P31" s="36">
        <f>_xll.StatCorrelationCoeff( ST_ODRB,ST_PTS)</f>
        <v>0.28668884957673357</v>
      </c>
      <c r="Q31" s="36">
        <f>_xll.StatCorrelationCoeff( ST_ODRB,ST_OFG)</f>
        <v>0.5366186367588861</v>
      </c>
      <c r="R31" s="36">
        <f>_xll.StatCorrelationCoeff( ST_ODRB,ST_OFGA)</f>
        <v>0.52753205607904308</v>
      </c>
      <c r="S31" s="36">
        <f>_xll.StatCorrelationCoeff( ST_ODRB,ST_O3P)</f>
        <v>0.32740656304038862</v>
      </c>
      <c r="T31" s="36">
        <f>_xll.StatCorrelationCoeff( ST_ODRB,ST_O3PA)</f>
        <v>0.31517067184594294</v>
      </c>
      <c r="U31" s="36">
        <f>_xll.StatCorrelationCoeff( ST_ODRB,ST_OFT)</f>
        <v>8.1799593524899551E-4</v>
      </c>
      <c r="V31" s="36">
        <f>_xll.StatCorrelationCoeff( ST_ODRB,ST_OFTA)</f>
        <v>1.0267085619256133E-3</v>
      </c>
      <c r="W31" s="36">
        <f>_xll.StatCorrelationCoeff( ST_ODRB,ST_OORB)</f>
        <v>0.22318639525207423</v>
      </c>
      <c r="X31" s="36">
        <v>1</v>
      </c>
      <c r="Y31" s="36"/>
      <c r="Z31" s="36"/>
      <c r="AA31" s="36"/>
      <c r="AB31" s="36"/>
      <c r="AC31" s="36"/>
      <c r="AD31" s="36"/>
    </row>
    <row r="32" spans="1:30" ht="15" customHeight="1" x14ac:dyDescent="0.25">
      <c r="A32" s="33" t="s">
        <v>40</v>
      </c>
      <c r="B32" s="39">
        <f>_xll.StatCorrelationCoeff( ST_OAST,ST_Wins)</f>
        <v>-0.55788395053827189</v>
      </c>
      <c r="C32" s="36">
        <f>_xll.StatCorrelationCoeff( ST_OAST,ST_FG)</f>
        <v>0.23162532971589736</v>
      </c>
      <c r="D32" s="36">
        <f>_xll.StatCorrelationCoeff( ST_OAST,ST_FGA)</f>
        <v>0.47998808886042077</v>
      </c>
      <c r="E32" s="36">
        <f>_xll.StatCorrelationCoeff( ST_OAST,ST_3P)</f>
        <v>-4.7377153615082733E-2</v>
      </c>
      <c r="F32" s="36">
        <f>_xll.StatCorrelationCoeff( ST_OAST,ST_3PA)</f>
        <v>1.1897216107714548E-2</v>
      </c>
      <c r="G32" s="36">
        <f>_xll.StatCorrelationCoeff( ST_OAST,ST_FT)</f>
        <v>0.19154372169336092</v>
      </c>
      <c r="H32" s="36">
        <f>_xll.StatCorrelationCoeff( ST_OAST,ST_FTA)</f>
        <v>0.16263855358088397</v>
      </c>
      <c r="I32" s="36">
        <f>_xll.StatCorrelationCoeff( ST_OAST,ST_ORB)</f>
        <v>0.20139593761605165</v>
      </c>
      <c r="J32" s="36">
        <f>_xll.StatCorrelationCoeff( ST_OAST,ST_DRB)</f>
        <v>-0.22690537108514588</v>
      </c>
      <c r="K32" s="36">
        <f>_xll.StatCorrelationCoeff( ST_OAST,ST_AST)</f>
        <v>2.3331985107761127E-3</v>
      </c>
      <c r="L32" s="36">
        <f>_xll.StatCorrelationCoeff( ST_OAST,ST_STL)</f>
        <v>0.27808729726116937</v>
      </c>
      <c r="M32" s="36">
        <f>_xll.StatCorrelationCoeff( ST_OAST,ST_BLK)</f>
        <v>-0.16840846092385844</v>
      </c>
      <c r="N32" s="36">
        <f>_xll.StatCorrelationCoeff( ST_OAST,ST_TOV)</f>
        <v>0.25147576126849552</v>
      </c>
      <c r="O32" s="36">
        <f>_xll.StatCorrelationCoeff( ST_OAST,ST_PF)</f>
        <v>6.1874836552324466E-2</v>
      </c>
      <c r="P32" s="36">
        <f>_xll.StatCorrelationCoeff( ST_OAST,ST_PTS)</f>
        <v>0.23668976243400822</v>
      </c>
      <c r="Q32" s="36">
        <f>_xll.StatCorrelationCoeff( ST_OAST,ST_OFG)</f>
        <v>0.67898664083279858</v>
      </c>
      <c r="R32" s="36">
        <f>_xll.StatCorrelationCoeff( ST_OAST,ST_OFGA)</f>
        <v>0.46622777209448463</v>
      </c>
      <c r="S32" s="36">
        <f>_xll.StatCorrelationCoeff( ST_OAST,ST_O3P)</f>
        <v>0.641779220141802</v>
      </c>
      <c r="T32" s="36">
        <f>_xll.StatCorrelationCoeff( ST_OAST,ST_O3PA)</f>
        <v>0.62498977591526117</v>
      </c>
      <c r="U32" s="36">
        <f>_xll.StatCorrelationCoeff( ST_OAST,ST_OFT)</f>
        <v>0.12642965979017429</v>
      </c>
      <c r="V32" s="36">
        <f>_xll.StatCorrelationCoeff( ST_OAST,ST_OFTA)</f>
        <v>0.1077833577209858</v>
      </c>
      <c r="W32" s="36">
        <f>_xll.StatCorrelationCoeff( ST_OAST,ST_OORB)</f>
        <v>0.41744936110338454</v>
      </c>
      <c r="X32" s="36">
        <f>_xll.StatCorrelationCoeff( ST_OAST,ST_ODRB)</f>
        <v>0.40656176333485095</v>
      </c>
      <c r="Y32" s="36">
        <v>1</v>
      </c>
      <c r="Z32" s="36"/>
      <c r="AA32" s="36"/>
      <c r="AB32" s="36"/>
      <c r="AC32" s="36"/>
      <c r="AD32" s="36"/>
    </row>
    <row r="33" spans="1:30" ht="15" customHeight="1" x14ac:dyDescent="0.25">
      <c r="A33" s="33" t="s">
        <v>41</v>
      </c>
      <c r="B33" s="39">
        <f>_xll.StatCorrelationCoeff( ST_OSTL,ST_Wins)</f>
        <v>-0.36730943325803239</v>
      </c>
      <c r="C33" s="36">
        <f>_xll.StatCorrelationCoeff( ST_OSTL,ST_FG)</f>
        <v>7.2247471578664305E-2</v>
      </c>
      <c r="D33" s="36">
        <f>_xll.StatCorrelationCoeff( ST_OSTL,ST_FGA)</f>
        <v>0.10943409191811719</v>
      </c>
      <c r="E33" s="36">
        <f>_xll.StatCorrelationCoeff( ST_OSTL,ST_3P)</f>
        <v>-0.16520312670246928</v>
      </c>
      <c r="F33" s="36">
        <f>_xll.StatCorrelationCoeff( ST_OSTL,ST_3PA)</f>
        <v>-0.14359651068717202</v>
      </c>
      <c r="G33" s="36">
        <f>_xll.StatCorrelationCoeff( ST_OSTL,ST_FT)</f>
        <v>0.2611240921864541</v>
      </c>
      <c r="H33" s="36">
        <f>_xll.StatCorrelationCoeff( ST_OSTL,ST_FTA)</f>
        <v>0.32062669045384357</v>
      </c>
      <c r="I33" s="36">
        <f>_xll.StatCorrelationCoeff( ST_OSTL,ST_ORB)</f>
        <v>0.1386251627440899</v>
      </c>
      <c r="J33" s="36">
        <f>_xll.StatCorrelationCoeff( ST_OSTL,ST_DRB)</f>
        <v>5.7396474849273731E-2</v>
      </c>
      <c r="K33" s="36">
        <f>_xll.StatCorrelationCoeff( ST_OSTL,ST_AST)</f>
        <v>0.10241594216502695</v>
      </c>
      <c r="L33" s="36">
        <f>_xll.StatCorrelationCoeff( ST_OSTL,ST_STL)</f>
        <v>0.17427311014875208</v>
      </c>
      <c r="M33" s="36">
        <f>_xll.StatCorrelationCoeff( ST_OSTL,ST_BLK)</f>
        <v>8.6548415201435316E-2</v>
      </c>
      <c r="N33" s="36">
        <f>_xll.StatCorrelationCoeff( ST_OSTL,ST_TOV)</f>
        <v>0.77439482859226294</v>
      </c>
      <c r="O33" s="36">
        <f>_xll.StatCorrelationCoeff( ST_OSTL,ST_PF)</f>
        <v>0.32277681412110326</v>
      </c>
      <c r="P33" s="36">
        <f>_xll.StatCorrelationCoeff( ST_OSTL,ST_PTS)</f>
        <v>0.10248496293180807</v>
      </c>
      <c r="Q33" s="36">
        <f>_xll.StatCorrelationCoeff( ST_OSTL,ST_OFG)</f>
        <v>0.27586590797399857</v>
      </c>
      <c r="R33" s="36">
        <f>_xll.StatCorrelationCoeff( ST_OSTL,ST_OFGA)</f>
        <v>0.28319846960372114</v>
      </c>
      <c r="S33" s="36">
        <f>_xll.StatCorrelationCoeff( ST_OSTL,ST_O3P)</f>
        <v>0.17754432029301204</v>
      </c>
      <c r="T33" s="36">
        <f>_xll.StatCorrelationCoeff( ST_OSTL,ST_O3PA)</f>
        <v>0.13918190976356751</v>
      </c>
      <c r="U33" s="36">
        <f>_xll.StatCorrelationCoeff( ST_OSTL,ST_OFT)</f>
        <v>0.41593882832845525</v>
      </c>
      <c r="V33" s="36">
        <f>_xll.StatCorrelationCoeff( ST_OSTL,ST_OFTA)</f>
        <v>0.41795192041798312</v>
      </c>
      <c r="W33" s="36">
        <f>_xll.StatCorrelationCoeff( ST_OSTL,ST_OORB)</f>
        <v>0.33969864856523696</v>
      </c>
      <c r="X33" s="36">
        <f>_xll.StatCorrelationCoeff( ST_OSTL,ST_ODRB)</f>
        <v>8.8796016703948447E-2</v>
      </c>
      <c r="Y33" s="36">
        <f>_xll.StatCorrelationCoeff( ST_OSTL,ST_OAST)</f>
        <v>0.29234955965706744</v>
      </c>
      <c r="Z33" s="36">
        <v>1</v>
      </c>
      <c r="AA33" s="36"/>
      <c r="AB33" s="36"/>
      <c r="AC33" s="36"/>
      <c r="AD33" s="36"/>
    </row>
    <row r="34" spans="1:30" ht="15" customHeight="1" x14ac:dyDescent="0.25">
      <c r="A34" s="33" t="s">
        <v>42</v>
      </c>
      <c r="B34" s="39">
        <f>_xll.StatCorrelationCoeff( ST_OBLK,ST_Wins)</f>
        <v>-0.50482051673110351</v>
      </c>
      <c r="C34" s="36">
        <f>_xll.StatCorrelationCoeff( ST_OBLK,ST_FG)</f>
        <v>-0.1728625872450929</v>
      </c>
      <c r="D34" s="36">
        <f>_xll.StatCorrelationCoeff( ST_OBLK,ST_FGA)</f>
        <v>0.10076116308726607</v>
      </c>
      <c r="E34" s="36">
        <f>_xll.StatCorrelationCoeff( ST_OBLK,ST_3P)</f>
        <v>-0.27812175465908595</v>
      </c>
      <c r="F34" s="36">
        <f>_xll.StatCorrelationCoeff( ST_OBLK,ST_3PA)</f>
        <v>-0.23545239523107897</v>
      </c>
      <c r="G34" s="36">
        <f>_xll.StatCorrelationCoeff( ST_OBLK,ST_FT)</f>
        <v>0.18909206495242278</v>
      </c>
      <c r="H34" s="36">
        <f>_xll.StatCorrelationCoeff( ST_OBLK,ST_FTA)</f>
        <v>0.22712152159560209</v>
      </c>
      <c r="I34" s="36">
        <f>_xll.StatCorrelationCoeff( ST_OBLK,ST_ORB)</f>
        <v>0.37777544148065151</v>
      </c>
      <c r="J34" s="36">
        <f>_xll.StatCorrelationCoeff( ST_OBLK,ST_DRB)</f>
        <v>-0.33250449731475157</v>
      </c>
      <c r="K34" s="36">
        <f>_xll.StatCorrelationCoeff( ST_OBLK,ST_AST)</f>
        <v>-0.14698448801600311</v>
      </c>
      <c r="L34" s="36">
        <f>_xll.StatCorrelationCoeff( ST_OBLK,ST_STL)</f>
        <v>0.30394797940458629</v>
      </c>
      <c r="M34" s="36">
        <f>_xll.StatCorrelationCoeff( ST_OBLK,ST_BLK)</f>
        <v>-8.15774974972963E-2</v>
      </c>
      <c r="N34" s="36">
        <f>_xll.StatCorrelationCoeff( ST_OBLK,ST_TOV)</f>
        <v>0.5248872235651183</v>
      </c>
      <c r="O34" s="36">
        <f>_xll.StatCorrelationCoeff( ST_OBLK,ST_PF)</f>
        <v>0.43276769037167506</v>
      </c>
      <c r="P34" s="36">
        <f>_xll.StatCorrelationCoeff( ST_OBLK,ST_PTS)</f>
        <v>-0.15179444944159287</v>
      </c>
      <c r="Q34" s="36">
        <f>_xll.StatCorrelationCoeff( ST_OBLK,ST_OFG)</f>
        <v>0.11345768699361715</v>
      </c>
      <c r="R34" s="36">
        <f>_xll.StatCorrelationCoeff( ST_OBLK,ST_OFGA)</f>
        <v>-8.0101657884625629E-2</v>
      </c>
      <c r="S34" s="36">
        <f>_xll.StatCorrelationCoeff( ST_OBLK,ST_O3P)</f>
        <v>0.19923741418347329</v>
      </c>
      <c r="T34" s="36">
        <f>_xll.StatCorrelationCoeff( ST_OBLK,ST_O3PA)</f>
        <v>0.13004678108117376</v>
      </c>
      <c r="U34" s="36">
        <f>_xll.StatCorrelationCoeff( ST_OBLK,ST_OFT)</f>
        <v>0.43012255001465316</v>
      </c>
      <c r="V34" s="36">
        <f>_xll.StatCorrelationCoeff( ST_OBLK,ST_OFTA)</f>
        <v>0.41141186706773558</v>
      </c>
      <c r="W34" s="36">
        <f>_xll.StatCorrelationCoeff( ST_OBLK,ST_OORB)</f>
        <v>0.12809908219823424</v>
      </c>
      <c r="X34" s="36">
        <f>_xll.StatCorrelationCoeff( ST_OBLK,ST_ODRB)</f>
        <v>3.6648015015453297E-2</v>
      </c>
      <c r="Y34" s="36">
        <f>_xll.StatCorrelationCoeff( ST_OBLK,ST_OAST)</f>
        <v>0.30720884478362026</v>
      </c>
      <c r="Z34" s="36">
        <f>_xll.StatCorrelationCoeff( ST_OBLK,ST_OSTL)</f>
        <v>0.52964095592907845</v>
      </c>
      <c r="AA34" s="36">
        <v>1</v>
      </c>
      <c r="AB34" s="36"/>
      <c r="AC34" s="36"/>
      <c r="AD34" s="36"/>
    </row>
    <row r="35" spans="1:30" ht="15" customHeight="1" x14ac:dyDescent="0.25">
      <c r="A35" s="33" t="s">
        <v>43</v>
      </c>
      <c r="B35" s="39">
        <f>_xll.StatCorrelationCoeff( ST_OTOV,ST_Wins)</f>
        <v>1.6048489952043092E-3</v>
      </c>
      <c r="C35" s="36">
        <f>_xll.StatCorrelationCoeff( ST_OTOV,ST_FG)</f>
        <v>0.20712002107689781</v>
      </c>
      <c r="D35" s="36">
        <f>_xll.StatCorrelationCoeff( ST_OTOV,ST_FGA)</f>
        <v>0.28330425473615761</v>
      </c>
      <c r="E35" s="36">
        <f>_xll.StatCorrelationCoeff( ST_OTOV,ST_3P)</f>
        <v>-2.9213690388704527E-2</v>
      </c>
      <c r="F35" s="36">
        <f>_xll.StatCorrelationCoeff( ST_OTOV,ST_3PA)</f>
        <v>-8.7144048166051796E-3</v>
      </c>
      <c r="G35" s="36">
        <f>_xll.StatCorrelationCoeff( ST_OTOV,ST_FT)</f>
        <v>0.3215818051717087</v>
      </c>
      <c r="H35" s="36">
        <f>_xll.StatCorrelationCoeff( ST_OTOV,ST_FTA)</f>
        <v>0.35586294744481339</v>
      </c>
      <c r="I35" s="36">
        <f>_xll.StatCorrelationCoeff( ST_OTOV,ST_ORB)</f>
        <v>0.17556215267574882</v>
      </c>
      <c r="J35" s="36">
        <f>_xll.StatCorrelationCoeff( ST_OTOV,ST_DRB)</f>
        <v>-0.24275740315281522</v>
      </c>
      <c r="K35" s="36">
        <f>_xll.StatCorrelationCoeff( ST_OTOV,ST_AST)</f>
        <v>0.23510706794987574</v>
      </c>
      <c r="L35" s="36">
        <f>_xll.StatCorrelationCoeff( ST_OTOV,ST_STL)</f>
        <v>0.80076094145295951</v>
      </c>
      <c r="M35" s="36">
        <f>_xll.StatCorrelationCoeff( ST_OTOV,ST_BLK)</f>
        <v>5.3623658994713982E-2</v>
      </c>
      <c r="N35" s="36">
        <f>_xll.StatCorrelationCoeff( ST_OTOV,ST_TOV)</f>
        <v>0.32991498533697239</v>
      </c>
      <c r="O35" s="36">
        <f>_xll.StatCorrelationCoeff( ST_OTOV,ST_PF)</f>
        <v>0.37649966781018762</v>
      </c>
      <c r="P35" s="36">
        <f>_xll.StatCorrelationCoeff( ST_OTOV,ST_PTS)</f>
        <v>0.27597136991634275</v>
      </c>
      <c r="Q35" s="36">
        <f>_xll.StatCorrelationCoeff( ST_OTOV,ST_OFG)</f>
        <v>5.7246773463077133E-2</v>
      </c>
      <c r="R35" s="36">
        <f>_xll.StatCorrelationCoeff( ST_OTOV,ST_OFGA)</f>
        <v>-8.7584165908684824E-3</v>
      </c>
      <c r="S35" s="36">
        <f>_xll.StatCorrelationCoeff( ST_OTOV,ST_O3P)</f>
        <v>0.13505853789111702</v>
      </c>
      <c r="T35" s="36">
        <f>_xll.StatCorrelationCoeff( ST_OTOV,ST_O3PA)</f>
        <v>0.1589103979935462</v>
      </c>
      <c r="U35" s="36">
        <f>_xll.StatCorrelationCoeff( ST_OTOV,ST_OFT)</f>
        <v>0.39109807201270025</v>
      </c>
      <c r="V35" s="36">
        <f>_xll.StatCorrelationCoeff( ST_OTOV,ST_OFTA)</f>
        <v>0.41685107143847522</v>
      </c>
      <c r="W35" s="36">
        <f>_xll.StatCorrelationCoeff( ST_OTOV,ST_OORB)</f>
        <v>0.26395180036522514</v>
      </c>
      <c r="X35" s="36">
        <f>_xll.StatCorrelationCoeff( ST_OTOV,ST_ODRB)</f>
        <v>0.19886025855563752</v>
      </c>
      <c r="Y35" s="36">
        <f>_xll.StatCorrelationCoeff( ST_OTOV,ST_OAST)</f>
        <v>0.2555484636269939</v>
      </c>
      <c r="Z35" s="36">
        <f>_xll.StatCorrelationCoeff( ST_OTOV,ST_OSTL)</f>
        <v>0.26070465759396322</v>
      </c>
      <c r="AA35" s="36">
        <f>_xll.StatCorrelationCoeff( ST_OTOV,ST_OBLK)</f>
        <v>0.31301875338061103</v>
      </c>
      <c r="AB35" s="36">
        <v>1</v>
      </c>
      <c r="AC35" s="36"/>
      <c r="AD35" s="36"/>
    </row>
    <row r="36" spans="1:30" ht="15" customHeight="1" x14ac:dyDescent="0.25">
      <c r="A36" s="33" t="s">
        <v>44</v>
      </c>
      <c r="B36" s="39">
        <f>_xll.StatCorrelationCoeff( ST_OPF,ST_Wins)</f>
        <v>7.5770340153608853E-2</v>
      </c>
      <c r="C36" s="36">
        <f>_xll.StatCorrelationCoeff( ST_OPF,ST_FG)</f>
        <v>-0.1378213568597739</v>
      </c>
      <c r="D36" s="36">
        <f>_xll.StatCorrelationCoeff( ST_OPF,ST_FGA)</f>
        <v>-0.22904844610723996</v>
      </c>
      <c r="E36" s="36">
        <f>_xll.StatCorrelationCoeff( ST_OPF,ST_3P)</f>
        <v>-0.24154756959125903</v>
      </c>
      <c r="F36" s="36">
        <f>_xll.StatCorrelationCoeff( ST_OPF,ST_3PA)</f>
        <v>-0.23084436284328266</v>
      </c>
      <c r="G36" s="36">
        <f>_xll.StatCorrelationCoeff( ST_OPF,ST_FT)</f>
        <v>0.78823509419846649</v>
      </c>
      <c r="H36" s="36">
        <f>_xll.StatCorrelationCoeff( ST_OPF,ST_FTA)</f>
        <v>0.86718347729164857</v>
      </c>
      <c r="I36" s="36">
        <f>_xll.StatCorrelationCoeff( ST_OPF,ST_ORB)</f>
        <v>0.22078112460018784</v>
      </c>
      <c r="J36" s="36">
        <f>_xll.StatCorrelationCoeff( ST_OPF,ST_DRB)</f>
        <v>-0.12055611719835344</v>
      </c>
      <c r="K36" s="36">
        <f>_xll.StatCorrelationCoeff( ST_OPF,ST_AST)</f>
        <v>-1.8082644448051979E-2</v>
      </c>
      <c r="L36" s="36">
        <f>_xll.StatCorrelationCoeff( ST_OPF,ST_STL)</f>
        <v>0.28033935386075509</v>
      </c>
      <c r="M36" s="36">
        <f>_xll.StatCorrelationCoeff( ST_OPF,ST_BLK)</f>
        <v>7.9299629205342087E-2</v>
      </c>
      <c r="N36" s="36">
        <f>_xll.StatCorrelationCoeff( ST_OPF,ST_TOV)</f>
        <v>0.44452388436335999</v>
      </c>
      <c r="O36" s="36">
        <f>_xll.StatCorrelationCoeff( ST_OPF,ST_PF)</f>
        <v>0.58014961401557297</v>
      </c>
      <c r="P36" s="36">
        <f>_xll.StatCorrelationCoeff( ST_OPF,ST_PTS)</f>
        <v>0.12591364587103121</v>
      </c>
      <c r="Q36" s="36">
        <f>_xll.StatCorrelationCoeff( ST_OPF,ST_OFG)</f>
        <v>-0.14089432347536079</v>
      </c>
      <c r="R36" s="36">
        <f>_xll.StatCorrelationCoeff( ST_OPF,ST_OFGA)</f>
        <v>-0.12429365020870181</v>
      </c>
      <c r="S36" s="36">
        <f>_xll.StatCorrelationCoeff( ST_OPF,ST_O3P)</f>
        <v>-0.10425604068459929</v>
      </c>
      <c r="T36" s="36">
        <f>_xll.StatCorrelationCoeff( ST_OPF,ST_O3PA)</f>
        <v>-0.10344766439466381</v>
      </c>
      <c r="U36" s="36">
        <f>_xll.StatCorrelationCoeff( ST_OPF,ST_OFT)</f>
        <v>0.47382993012341684</v>
      </c>
      <c r="V36" s="36">
        <f>_xll.StatCorrelationCoeff( ST_OPF,ST_OFTA)</f>
        <v>0.50236958414311805</v>
      </c>
      <c r="W36" s="36">
        <f>_xll.StatCorrelationCoeff( ST_OPF,ST_OORB)</f>
        <v>0.12504570686571681</v>
      </c>
      <c r="X36" s="36">
        <f>_xll.StatCorrelationCoeff( ST_OPF,ST_ODRB)</f>
        <v>-0.24782383929199794</v>
      </c>
      <c r="Y36" s="36">
        <f>_xll.StatCorrelationCoeff( ST_OPF,ST_OAST)</f>
        <v>3.3473952675386165E-2</v>
      </c>
      <c r="Z36" s="36">
        <f>_xll.StatCorrelationCoeff( ST_OPF,ST_OSTL)</f>
        <v>0.31120430137277305</v>
      </c>
      <c r="AA36" s="36">
        <f>_xll.StatCorrelationCoeff( ST_OPF,ST_OBLK)</f>
        <v>0.21142876049078396</v>
      </c>
      <c r="AB36" s="36">
        <f>_xll.StatCorrelationCoeff( ST_OPF,ST_OTOV)</f>
        <v>0.44317806460061415</v>
      </c>
      <c r="AC36" s="36">
        <v>1</v>
      </c>
      <c r="AD36" s="36"/>
    </row>
    <row r="37" spans="1:30" ht="15" customHeight="1" x14ac:dyDescent="0.25">
      <c r="A37" s="33" t="s">
        <v>45</v>
      </c>
      <c r="B37" s="39">
        <f>_xll.StatCorrelationCoeff( ST_OPTS,ST_Wins)</f>
        <v>-0.52577347647560091</v>
      </c>
      <c r="C37" s="36">
        <f>_xll.StatCorrelationCoeff( ST_OPTS,ST_FG)</f>
        <v>0.53180091805303964</v>
      </c>
      <c r="D37" s="36">
        <f>_xll.StatCorrelationCoeff( ST_OPTS,ST_FGA)</f>
        <v>0.65074817235894122</v>
      </c>
      <c r="E37" s="36">
        <f>_xll.StatCorrelationCoeff( ST_OPTS,ST_3P)</f>
        <v>0.16006605804346333</v>
      </c>
      <c r="F37" s="36">
        <f>_xll.StatCorrelationCoeff( ST_OPTS,ST_3PA)</f>
        <v>0.18448880783656033</v>
      </c>
      <c r="G37" s="36">
        <f>_xll.StatCorrelationCoeff( ST_OPTS,ST_FT)</f>
        <v>0.24017358618195425</v>
      </c>
      <c r="H37" s="36">
        <f>_xll.StatCorrelationCoeff( ST_OPTS,ST_FTA)</f>
        <v>0.16164499346073941</v>
      </c>
      <c r="I37" s="36">
        <f>_xll.StatCorrelationCoeff( ST_OPTS,ST_ORB)</f>
        <v>8.8715725791338143E-2</v>
      </c>
      <c r="J37" s="36">
        <f>_xll.StatCorrelationCoeff( ST_OPTS,ST_DRB)</f>
        <v>-0.10060554379631936</v>
      </c>
      <c r="K37" s="36">
        <f>_xll.StatCorrelationCoeff( ST_OPTS,ST_AST)</f>
        <v>0.12663809193423659</v>
      </c>
      <c r="L37" s="36">
        <f>_xll.StatCorrelationCoeff( ST_OPTS,ST_STL)</f>
        <v>0.1761251912307632</v>
      </c>
      <c r="M37" s="36">
        <f>_xll.StatCorrelationCoeff( ST_OPTS,ST_BLK)</f>
        <v>-0.16736502768748837</v>
      </c>
      <c r="N37" s="36">
        <f>_xll.StatCorrelationCoeff( ST_OPTS,ST_TOV)</f>
        <v>0.32193650199441037</v>
      </c>
      <c r="O37" s="36">
        <f>_xll.StatCorrelationCoeff( ST_OPTS,ST_PF)</f>
        <v>0.12886112911554551</v>
      </c>
      <c r="P37" s="36">
        <f>_xll.StatCorrelationCoeff( ST_OPTS,ST_PTS)</f>
        <v>0.55601260722547874</v>
      </c>
      <c r="Q37" s="36">
        <f>_xll.StatCorrelationCoeff( ST_OPTS,ST_OFG)</f>
        <v>0.89563191912179496</v>
      </c>
      <c r="R37" s="36">
        <f>_xll.StatCorrelationCoeff( ST_OPTS,ST_OFGA)</f>
        <v>0.65043725589763779</v>
      </c>
      <c r="S37" s="36">
        <f>_xll.StatCorrelationCoeff( ST_OPTS,ST_O3P)</f>
        <v>0.66785163967457495</v>
      </c>
      <c r="T37" s="36">
        <f>_xll.StatCorrelationCoeff( ST_OPTS,ST_O3PA)</f>
        <v>0.58889074346075776</v>
      </c>
      <c r="U37" s="36">
        <f>_xll.StatCorrelationCoeff( ST_OPTS,ST_OFT)</f>
        <v>0.32937947953491642</v>
      </c>
      <c r="V37" s="36">
        <f>_xll.StatCorrelationCoeff( ST_OPTS,ST_OFTA)</f>
        <v>0.28969078260546632</v>
      </c>
      <c r="W37" s="36">
        <f>_xll.StatCorrelationCoeff( ST_OPTS,ST_OORB)</f>
        <v>0.46176045394244636</v>
      </c>
      <c r="X37" s="36">
        <f>_xll.StatCorrelationCoeff( ST_OPTS,ST_ODRB)</f>
        <v>0.50855822325407862</v>
      </c>
      <c r="Y37" s="36">
        <f>_xll.StatCorrelationCoeff( ST_OPTS,ST_OAST)</f>
        <v>0.73242651828884353</v>
      </c>
      <c r="Z37" s="36">
        <f>_xll.StatCorrelationCoeff( ST_OPTS,ST_OSTL)</f>
        <v>0.42811968608064022</v>
      </c>
      <c r="AA37" s="36">
        <f>_xll.StatCorrelationCoeff( ST_OPTS,ST_OBLK)</f>
        <v>0.3007081770113863</v>
      </c>
      <c r="AB37" s="36">
        <f>_xll.StatCorrelationCoeff( ST_OPTS,ST_OTOV)</f>
        <v>0.22682680095190966</v>
      </c>
      <c r="AC37" s="36">
        <f>_xll.StatCorrelationCoeff( ST_OPTS,ST_OPF)</f>
        <v>5.1672801013061889E-2</v>
      </c>
      <c r="AD37" s="36">
        <v>1</v>
      </c>
    </row>
    <row r="38" spans="1:30" ht="15" customHeight="1" x14ac:dyDescent="0.25"/>
    <row r="39" spans="1:30" ht="15" customHeight="1" x14ac:dyDescent="0.25"/>
    <row r="40" spans="1:30" ht="15" customHeight="1" x14ac:dyDescent="0.25"/>
    <row r="41" spans="1:30" ht="15" customHeight="1" x14ac:dyDescent="0.25"/>
    <row r="42" spans="1:30" ht="15" customHeight="1" x14ac:dyDescent="0.25"/>
    <row r="43" spans="1:30" ht="15" customHeight="1" x14ac:dyDescent="0.25"/>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53"/>
  <sheetViews>
    <sheetView zoomScaleNormal="100" workbookViewId="0">
      <pane ySplit="8130" topLeftCell="A141"/>
      <selection activeCell="A2" sqref="A2"/>
      <selection pane="bottomLeft" activeCell="A27" sqref="A27"/>
    </sheetView>
  </sheetViews>
  <sheetFormatPr defaultRowHeight="15" x14ac:dyDescent="0.25"/>
  <cols>
    <col min="1" max="1" width="34.42578125" bestFit="1" customWidth="1"/>
    <col min="2" max="2" width="10.42578125" style="3" customWidth="1"/>
    <col min="3" max="3" width="5.42578125" bestFit="1" customWidth="1"/>
    <col min="4" max="4" width="7.28515625" customWidth="1"/>
    <col min="5" max="5" width="12.28515625" style="22" bestFit="1" customWidth="1"/>
    <col min="6" max="6" width="7.28515625" customWidth="1"/>
    <col min="7" max="7" width="5.7109375" customWidth="1"/>
    <col min="8" max="9" width="6" customWidth="1"/>
    <col min="10" max="10" width="5.140625" customWidth="1"/>
    <col min="11" max="11" width="5" bestFit="1" customWidth="1"/>
    <col min="12" max="13" width="6.28515625" customWidth="1"/>
    <col min="14" max="14" width="7.42578125" bestFit="1" customWidth="1"/>
    <col min="15" max="15" width="5" bestFit="1" customWidth="1"/>
    <col min="16" max="16" width="6.28515625" customWidth="1"/>
    <col min="17" max="17" width="6.140625" customWidth="1"/>
    <col min="18" max="18" width="7.42578125" customWidth="1"/>
    <col min="19" max="20" width="5" bestFit="1" customWidth="1"/>
    <col min="21" max="21" width="7.85546875" customWidth="1"/>
    <col min="22" max="22" width="7" bestFit="1" customWidth="1"/>
    <col min="23" max="23" width="5.5703125" bestFit="1" customWidth="1"/>
    <col min="24" max="24" width="6.85546875" bestFit="1" customWidth="1"/>
    <col min="25" max="25" width="5.42578125" bestFit="1" customWidth="1"/>
    <col min="26" max="26" width="6.7109375" bestFit="1" customWidth="1"/>
    <col min="27" max="27" width="7.140625" bestFit="1" customWidth="1"/>
    <col min="28" max="28" width="7" bestFit="1" customWidth="1"/>
    <col min="29" max="29" width="6.7109375" bestFit="1" customWidth="1"/>
    <col min="30" max="30" width="6.28515625" bestFit="1" customWidth="1"/>
    <col min="31" max="31" width="6.5703125" bestFit="1" customWidth="1"/>
    <col min="32" max="32" width="7.140625" bestFit="1" customWidth="1"/>
    <col min="33" max="33" width="5.5703125" bestFit="1" customWidth="1"/>
    <col min="34" max="34" width="6.5703125" bestFit="1" customWidth="1"/>
    <col min="35" max="35" width="7.28515625" customWidth="1"/>
  </cols>
  <sheetData>
    <row r="1" spans="1:34" s="1" customFormat="1" x14ac:dyDescent="0.25">
      <c r="A1" s="1" t="s">
        <v>49</v>
      </c>
      <c r="B1" s="2"/>
      <c r="C1" s="1" t="s">
        <v>48</v>
      </c>
      <c r="E1" s="23"/>
      <c r="G1" s="1" t="s">
        <v>46</v>
      </c>
      <c r="U1" s="1" t="s">
        <v>47</v>
      </c>
    </row>
    <row r="2" spans="1:34" ht="15.75" thickBot="1" x14ac:dyDescent="0.3"/>
    <row r="3" spans="1:34" s="1" customFormat="1" ht="15.75" thickBot="1" x14ac:dyDescent="0.3">
      <c r="A3" s="16" t="s">
        <v>1</v>
      </c>
      <c r="B3" s="17" t="s">
        <v>51</v>
      </c>
      <c r="C3" s="18" t="s">
        <v>30</v>
      </c>
      <c r="D3" s="19" t="s">
        <v>31</v>
      </c>
      <c r="E3" s="40" t="s">
        <v>50</v>
      </c>
      <c r="F3" s="20" t="s">
        <v>0</v>
      </c>
      <c r="G3" s="18" t="s">
        <v>2</v>
      </c>
      <c r="H3" s="19" t="s">
        <v>3</v>
      </c>
      <c r="I3" s="19" t="s">
        <v>4</v>
      </c>
      <c r="J3" s="19" t="s">
        <v>5</v>
      </c>
      <c r="K3" s="19" t="s">
        <v>6</v>
      </c>
      <c r="L3" s="19" t="s">
        <v>7</v>
      </c>
      <c r="M3" s="19" t="s">
        <v>8</v>
      </c>
      <c r="N3" s="19" t="s">
        <v>9</v>
      </c>
      <c r="O3" s="19" t="s">
        <v>10</v>
      </c>
      <c r="P3" s="19" t="s">
        <v>11</v>
      </c>
      <c r="Q3" s="19" t="s">
        <v>12</v>
      </c>
      <c r="R3" s="19" t="s">
        <v>13</v>
      </c>
      <c r="S3" s="19" t="s">
        <v>14</v>
      </c>
      <c r="T3" s="21" t="s">
        <v>15</v>
      </c>
      <c r="U3" s="18" t="s">
        <v>32</v>
      </c>
      <c r="V3" s="19" t="s">
        <v>33</v>
      </c>
      <c r="W3" s="19" t="s">
        <v>34</v>
      </c>
      <c r="X3" s="19" t="s">
        <v>35</v>
      </c>
      <c r="Y3" s="19" t="s">
        <v>36</v>
      </c>
      <c r="Z3" s="19" t="s">
        <v>37</v>
      </c>
      <c r="AA3" s="19" t="s">
        <v>38</v>
      </c>
      <c r="AB3" s="19" t="s">
        <v>39</v>
      </c>
      <c r="AC3" s="19" t="s">
        <v>40</v>
      </c>
      <c r="AD3" s="19" t="s">
        <v>41</v>
      </c>
      <c r="AE3" s="19" t="s">
        <v>42</v>
      </c>
      <c r="AF3" s="19" t="s">
        <v>43</v>
      </c>
      <c r="AG3" s="19" t="s">
        <v>44</v>
      </c>
      <c r="AH3" s="21" t="s">
        <v>45</v>
      </c>
    </row>
    <row r="4" spans="1:34" x14ac:dyDescent="0.25">
      <c r="A4" s="4" t="s">
        <v>60</v>
      </c>
      <c r="B4" s="13" t="s">
        <v>52</v>
      </c>
      <c r="C4" s="4">
        <v>47</v>
      </c>
      <c r="D4" s="5">
        <v>35</v>
      </c>
      <c r="E4" s="41" t="s">
        <v>58</v>
      </c>
      <c r="F4" s="6">
        <v>1.71</v>
      </c>
      <c r="G4" s="4">
        <f>IF(Data!G4&lt;=QUARTILE(Data!G$4:G$153,1),1,IF(Data!G4&lt;=MEDIAN(Data!G$4:G$153),2,IF(Data!G4&lt;=QUARTILE(Data!G$4:G$153,3),3,4)))</f>
        <v>2</v>
      </c>
      <c r="H4" s="5">
        <f>IF(Data!H4&lt;=QUARTILE(Data!H$4:H$153,1),1,IF(Data!H4&lt;=MEDIAN(Data!H$4:H$153),2,IF(Data!H4&lt;=QUARTILE(Data!H$4:H$153,3),3,4)))</f>
        <v>2</v>
      </c>
      <c r="I4" s="5">
        <f>IF(Data!I4&lt;=QUARTILE(Data!I$4:I$153,1),1,IF(Data!I4&lt;=MEDIAN(Data!I$4:I$153),2,IF(Data!I4&lt;=QUARTILE(Data!I$4:I$153,3),3,4)))</f>
        <v>4</v>
      </c>
      <c r="J4" s="5">
        <f>IF(Data!J4&lt;=QUARTILE(Data!J$4:J$153,1),1,IF(Data!J4&lt;=MEDIAN(Data!J$4:J$153),2,IF(Data!J4&lt;=QUARTILE(Data!J$4:J$153,3),3,4)))</f>
        <v>4</v>
      </c>
      <c r="K4" s="5">
        <f>IF(Data!K4&lt;=QUARTILE(Data!K$4:K$153,1),1,IF(Data!K4&lt;=MEDIAN(Data!K$4:K$153),2,IF(Data!K4&lt;=QUARTILE(Data!K$4:K$153,3),3,4)))</f>
        <v>2</v>
      </c>
      <c r="L4" s="5">
        <f>IF(Data!L4&lt;=QUARTILE(Data!L$4:L$153,1),1,IF(Data!L4&lt;=MEDIAN(Data!L$4:L$153),2,IF(Data!L4&lt;=QUARTILE(Data!L$4:L$153,3),3,4)))</f>
        <v>2</v>
      </c>
      <c r="M4" s="5">
        <f>IF(Data!M4&lt;=QUARTILE(Data!M$4:M$153,1),1,IF(Data!M4&lt;=MEDIAN(Data!M$4:M$153),2,IF(Data!M4&lt;=QUARTILE(Data!M$4:M$153,3),3,4)))</f>
        <v>2</v>
      </c>
      <c r="N4" s="5">
        <f>IF(Data!N4&lt;=QUARTILE(Data!N$4:N$153,1),1,IF(Data!N4&lt;=MEDIAN(Data!N$4:N$153),2,IF(Data!N4&lt;=QUARTILE(Data!N$4:N$153,3),3,4)))</f>
        <v>2</v>
      </c>
      <c r="O4" s="5">
        <f>IF(Data!O4&lt;=QUARTILE(Data!O$4:O$153,1),1,IF(Data!O4&lt;=MEDIAN(Data!O$4:O$153),2,IF(Data!O4&lt;=QUARTILE(Data!O$4:O$153,3),3,4)))</f>
        <v>2</v>
      </c>
      <c r="P4" s="5">
        <f>IF(Data!P4&lt;=QUARTILE(Data!P$4:P$153,1),1,IF(Data!P4&lt;=MEDIAN(Data!P$4:P$153),2,IF(Data!P4&lt;=QUARTILE(Data!P$4:P$153,3),3,4)))</f>
        <v>3</v>
      </c>
      <c r="Q4" s="5">
        <f>IF(Data!Q4&lt;=QUARTILE(Data!Q$4:Q$153,1),1,IF(Data!Q4&lt;=MEDIAN(Data!Q$4:Q$153),2,IF(Data!Q4&lt;=QUARTILE(Data!Q$4:Q$153,3),3,4)))</f>
        <v>2</v>
      </c>
      <c r="R4" s="5">
        <f>IF(Data!R4&lt;=QUARTILE(Data!R$4:R$153,1),1,IF(Data!R4&lt;=MEDIAN(Data!R$4:R$153),2,IF(Data!R4&lt;=QUARTILE(Data!R$4:R$153,3),3,4)))</f>
        <v>1</v>
      </c>
      <c r="S4" s="5">
        <f>IF(Data!S4&lt;=QUARTILE(Data!S$4:S$153,1),1,IF(Data!S4&lt;=MEDIAN(Data!S$4:S$153),2,IF(Data!S4&lt;=QUARTILE(Data!S$4:S$153,3),3,4)))</f>
        <v>1</v>
      </c>
      <c r="T4" s="6">
        <f>IF(Data!T4&lt;=QUARTILE(Data!T$4:T$153,1),1,IF(Data!T4&lt;=MEDIAN(Data!T$4:T$153),2,IF(Data!T4&lt;=QUARTILE(Data!T$4:T$153,3),3,4)))</f>
        <v>3</v>
      </c>
      <c r="U4" s="4">
        <f>IF(Data!U4&lt;=QUARTILE(Data!U$4:U$153,1),1,IF(Data!U4&lt;=MEDIAN(Data!U$4:U$153),2,IF(Data!U4&lt;=QUARTILE(Data!U$4:U$153,3),3,4)))</f>
        <v>3</v>
      </c>
      <c r="V4" s="5">
        <f>IF(Data!V4&lt;=QUARTILE(Data!V$4:V$153,1),1,IF(Data!V4&lt;=MEDIAN(Data!V$4:V$153),2,IF(Data!V4&lt;=QUARTILE(Data!V$4:V$153,3),3,4)))</f>
        <v>3</v>
      </c>
      <c r="W4" s="5">
        <f>IF(Data!W4&lt;=QUARTILE(Data!W$4:W$153,1),1,IF(Data!W4&lt;=MEDIAN(Data!W$4:W$153),2,IF(Data!W4&lt;=QUARTILE(Data!W$4:W$153,3),3,4)))</f>
        <v>3</v>
      </c>
      <c r="X4" s="5">
        <f>IF(Data!X4&lt;=QUARTILE(Data!X$4:X$153,1),1,IF(Data!X4&lt;=MEDIAN(Data!X$4:X$153),2,IF(Data!X4&lt;=QUARTILE(Data!X$4:X$153,3),3,4)))</f>
        <v>3</v>
      </c>
      <c r="Y4" s="5">
        <f>IF(Data!Y4&lt;=QUARTILE(Data!Y$4:Y$153,1),1,IF(Data!Y4&lt;=MEDIAN(Data!Y$4:Y$153),2,IF(Data!Y4&lt;=QUARTILE(Data!Y$4:Y$153,3),3,4)))</f>
        <v>1</v>
      </c>
      <c r="Z4" s="5">
        <f>IF(Data!Z4&lt;=QUARTILE(Data!Z$4:Z$153,1),1,IF(Data!Z4&lt;=MEDIAN(Data!Z$4:Z$153),2,IF(Data!Z4&lt;=QUARTILE(Data!Z$4:Z$153,3),3,4)))</f>
        <v>1</v>
      </c>
      <c r="AA4" s="5">
        <f>IF(Data!AA4&lt;=QUARTILE(Data!AA$4:AA$153,1),1,IF(Data!AA4&lt;=MEDIAN(Data!AA$4:AA$153),2,IF(Data!AA4&lt;=QUARTILE(Data!AA$4:AA$153,3),3,4)))</f>
        <v>3</v>
      </c>
      <c r="AB4" s="5">
        <f>IF(Data!AB4&lt;=QUARTILE(Data!AB$4:AB$153,1),1,IF(Data!AB4&lt;=MEDIAN(Data!AB$4:AB$153),2,IF(Data!AB4&lt;=QUARTILE(Data!AB$4:AB$153,3),3,4)))</f>
        <v>3</v>
      </c>
      <c r="AC4" s="5">
        <f>IF(Data!AC4&lt;=QUARTILE(Data!AC$4:AC$153,1),1,IF(Data!AC4&lt;=MEDIAN(Data!AC$4:AC$153),2,IF(Data!AC4&lt;=QUARTILE(Data!AC$4:AC$153,3),3,4)))</f>
        <v>2</v>
      </c>
      <c r="AD4" s="5">
        <f>IF(Data!AD4&lt;=QUARTILE(Data!AD$4:AD$153,1),1,IF(Data!AD4&lt;=MEDIAN(Data!AD$4:AD$153),2,IF(Data!AD4&lt;=QUARTILE(Data!AD$4:AD$153,3),3,4)))</f>
        <v>1</v>
      </c>
      <c r="AE4" s="5">
        <f>IF(Data!AE4&lt;=QUARTILE(Data!AE$4:AE$153,1),1,IF(Data!AE4&lt;=MEDIAN(Data!AE$4:AE$153),2,IF(Data!AE4&lt;=QUARTILE(Data!AE$4:AE$153,3),3,4)))</f>
        <v>1</v>
      </c>
      <c r="AF4" s="5">
        <f>IF(Data!AF4&lt;=QUARTILE(Data!AF$4:AF$153,1),1,IF(Data!AF4&lt;=MEDIAN(Data!AF$4:AF$153),2,IF(Data!AF4&lt;=QUARTILE(Data!AF$4:AF$153,3),3,4)))</f>
        <v>2</v>
      </c>
      <c r="AG4" s="5">
        <f>IF(Data!AG4&lt;=QUARTILE(Data!AG$4:AG$153,1),1,IF(Data!AG4&lt;=MEDIAN(Data!AG$4:AG$153),2,IF(Data!AG4&lt;=QUARTILE(Data!AG$4:AG$153,3),3,4)))</f>
        <v>1</v>
      </c>
      <c r="AH4" s="6">
        <f>IF(Data!AH4&lt;=QUARTILE(Data!AH$4:AH$153,1),1,IF(Data!AH4&lt;=MEDIAN(Data!AH$4:AH$153),2,IF(Data!AH4&lt;=QUARTILE(Data!AH$4:AH$153,3),3,4)))</f>
        <v>2</v>
      </c>
    </row>
    <row r="5" spans="1:34" x14ac:dyDescent="0.25">
      <c r="A5" s="7" t="s">
        <v>61</v>
      </c>
      <c r="B5" s="14" t="s">
        <v>52</v>
      </c>
      <c r="C5" s="7">
        <v>62</v>
      </c>
      <c r="D5" s="8">
        <v>20</v>
      </c>
      <c r="E5" s="42" t="s">
        <v>58</v>
      </c>
      <c r="F5" s="9">
        <v>7.44</v>
      </c>
      <c r="G5" s="7">
        <f>IF(Data!G5&lt;=QUARTILE(Data!G$4:G$153,1),1,IF(Data!G5&lt;=MEDIAN(Data!G$4:G$153),2,IF(Data!G5&lt;=QUARTILE(Data!G$4:G$153,3),3,4)))</f>
        <v>4</v>
      </c>
      <c r="H5" s="8">
        <f>IF(Data!H5&lt;=QUARTILE(Data!H$4:H$153,1),1,IF(Data!H5&lt;=MEDIAN(Data!H$4:H$153),2,IF(Data!H5&lt;=QUARTILE(Data!H$4:H$153,3),3,4)))</f>
        <v>1</v>
      </c>
      <c r="I5" s="8">
        <f>IF(Data!I5&lt;=QUARTILE(Data!I$4:I$153,1),1,IF(Data!I5&lt;=MEDIAN(Data!I$4:I$153),2,IF(Data!I5&lt;=QUARTILE(Data!I$4:I$153,3),3,4)))</f>
        <v>3</v>
      </c>
      <c r="J5" s="8">
        <f>IF(Data!J5&lt;=QUARTILE(Data!J$4:J$153,1),1,IF(Data!J5&lt;=MEDIAN(Data!J$4:J$153),2,IF(Data!J5&lt;=QUARTILE(Data!J$4:J$153,3),3,4)))</f>
        <v>2</v>
      </c>
      <c r="K5" s="8">
        <f>IF(Data!K5&lt;=QUARTILE(Data!K$4:K$153,1),1,IF(Data!K5&lt;=MEDIAN(Data!K$4:K$153),2,IF(Data!K5&lt;=QUARTILE(Data!K$4:K$153,3),3,4)))</f>
        <v>3</v>
      </c>
      <c r="L5" s="8">
        <f>IF(Data!L5&lt;=QUARTILE(Data!L$4:L$153,1),1,IF(Data!L5&lt;=MEDIAN(Data!L$4:L$153),2,IF(Data!L5&lt;=QUARTILE(Data!L$4:L$153,3),3,4)))</f>
        <v>2</v>
      </c>
      <c r="M5" s="8">
        <f>IF(Data!M5&lt;=QUARTILE(Data!M$4:M$153,1),1,IF(Data!M5&lt;=MEDIAN(Data!M$4:M$153),2,IF(Data!M5&lt;=QUARTILE(Data!M$4:M$153,3),3,4)))</f>
        <v>2</v>
      </c>
      <c r="N5" s="8">
        <f>IF(Data!N5&lt;=QUARTILE(Data!N$4:N$153,1),1,IF(Data!N5&lt;=MEDIAN(Data!N$4:N$153),2,IF(Data!N5&lt;=QUARTILE(Data!N$4:N$153,3),3,4)))</f>
        <v>4</v>
      </c>
      <c r="O5" s="8">
        <f>IF(Data!O5&lt;=QUARTILE(Data!O$4:O$153,1),1,IF(Data!O5&lt;=MEDIAN(Data!O$4:O$153),2,IF(Data!O5&lt;=QUARTILE(Data!O$4:O$153,3),3,4)))</f>
        <v>4</v>
      </c>
      <c r="P5" s="8">
        <f>IF(Data!P5&lt;=QUARTILE(Data!P$4:P$153,1),1,IF(Data!P5&lt;=MEDIAN(Data!P$4:P$153),2,IF(Data!P5&lt;=QUARTILE(Data!P$4:P$153,3),3,4)))</f>
        <v>3</v>
      </c>
      <c r="Q5" s="8">
        <f>IF(Data!Q5&lt;=QUARTILE(Data!Q$4:Q$153,1),1,IF(Data!Q5&lt;=MEDIAN(Data!Q$4:Q$153),2,IF(Data!Q5&lt;=QUARTILE(Data!Q$4:Q$153,3),3,4)))</f>
        <v>2</v>
      </c>
      <c r="R5" s="8">
        <f>IF(Data!R5&lt;=QUARTILE(Data!R$4:R$153,1),1,IF(Data!R5&lt;=MEDIAN(Data!R$4:R$153),2,IF(Data!R5&lt;=QUARTILE(Data!R$4:R$153,3),3,4)))</f>
        <v>4</v>
      </c>
      <c r="S5" s="8">
        <f>IF(Data!S5&lt;=QUARTILE(Data!S$4:S$153,1),1,IF(Data!S5&lt;=MEDIAN(Data!S$4:S$153),2,IF(Data!S5&lt;=QUARTILE(Data!S$4:S$153,3),3,4)))</f>
        <v>4</v>
      </c>
      <c r="T5" s="9">
        <f>IF(Data!T5&lt;=QUARTILE(Data!T$4:T$153,1),1,IF(Data!T5&lt;=MEDIAN(Data!T$4:T$153),2,IF(Data!T5&lt;=QUARTILE(Data!T$4:T$153,3),3,4)))</f>
        <v>4</v>
      </c>
      <c r="U5" s="7">
        <f>IF(Data!U5&lt;=QUARTILE(Data!U$4:U$153,1),1,IF(Data!U5&lt;=MEDIAN(Data!U$4:U$153),2,IF(Data!U5&lt;=QUARTILE(Data!U$4:U$153,3),3,4)))</f>
        <v>1</v>
      </c>
      <c r="V5" s="8">
        <f>IF(Data!V5&lt;=QUARTILE(Data!V$4:V$153,1),1,IF(Data!V5&lt;=MEDIAN(Data!V$4:V$153),2,IF(Data!V5&lt;=QUARTILE(Data!V$4:V$153,3),3,4)))</f>
        <v>2</v>
      </c>
      <c r="W5" s="8">
        <f>IF(Data!W5&lt;=QUARTILE(Data!W$4:W$153,1),1,IF(Data!W5&lt;=MEDIAN(Data!W$4:W$153),2,IF(Data!W5&lt;=QUARTILE(Data!W$4:W$153,3),3,4)))</f>
        <v>3</v>
      </c>
      <c r="X5" s="8">
        <f>IF(Data!X5&lt;=QUARTILE(Data!X$4:X$153,1),1,IF(Data!X5&lt;=MEDIAN(Data!X$4:X$153),2,IF(Data!X5&lt;=QUARTILE(Data!X$4:X$153,3),3,4)))</f>
        <v>3</v>
      </c>
      <c r="Y5" s="8">
        <f>IF(Data!Y5&lt;=QUARTILE(Data!Y$4:Y$153,1),1,IF(Data!Y5&lt;=MEDIAN(Data!Y$4:Y$153),2,IF(Data!Y5&lt;=QUARTILE(Data!Y$4:Y$153,3),3,4)))</f>
        <v>3</v>
      </c>
      <c r="Z5" s="8">
        <f>IF(Data!Z5&lt;=QUARTILE(Data!Z$4:Z$153,1),1,IF(Data!Z5&lt;=MEDIAN(Data!Z$4:Z$153),2,IF(Data!Z5&lt;=QUARTILE(Data!Z$4:Z$153,3),3,4)))</f>
        <v>3</v>
      </c>
      <c r="AA5" s="8">
        <f>IF(Data!AA5&lt;=QUARTILE(Data!AA$4:AA$153,1),1,IF(Data!AA5&lt;=MEDIAN(Data!AA$4:AA$153),2,IF(Data!AA5&lt;=QUARTILE(Data!AA$4:AA$153,3),3,4)))</f>
        <v>1</v>
      </c>
      <c r="AB5" s="8">
        <f>IF(Data!AB5&lt;=QUARTILE(Data!AB$4:AB$153,1),1,IF(Data!AB5&lt;=MEDIAN(Data!AB$4:AB$153),2,IF(Data!AB5&lt;=QUARTILE(Data!AB$4:AB$153,3),3,4)))</f>
        <v>1</v>
      </c>
      <c r="AC5" s="8">
        <f>IF(Data!AC5&lt;=QUARTILE(Data!AC$4:AC$153,1),1,IF(Data!AC5&lt;=MEDIAN(Data!AC$4:AC$153),2,IF(Data!AC5&lt;=QUARTILE(Data!AC$4:AC$153,3),3,4)))</f>
        <v>1</v>
      </c>
      <c r="AD5" s="8">
        <f>IF(Data!AD5&lt;=QUARTILE(Data!AD$4:AD$153,1),1,IF(Data!AD5&lt;=MEDIAN(Data!AD$4:AD$153),2,IF(Data!AD5&lt;=QUARTILE(Data!AD$4:AD$153,3),3,4)))</f>
        <v>2</v>
      </c>
      <c r="AE5" s="8">
        <f>IF(Data!AE5&lt;=QUARTILE(Data!AE$4:AE$153,1),1,IF(Data!AE5&lt;=MEDIAN(Data!AE$4:AE$153),2,IF(Data!AE5&lt;=QUARTILE(Data!AE$4:AE$153,3),3,4)))</f>
        <v>2</v>
      </c>
      <c r="AF5" s="8">
        <f>IF(Data!AF5&lt;=QUARTILE(Data!AF$4:AF$153,1),1,IF(Data!AF5&lt;=MEDIAN(Data!AF$4:AF$153),2,IF(Data!AF5&lt;=QUARTILE(Data!AF$4:AF$153,3),3,4)))</f>
        <v>3</v>
      </c>
      <c r="AG5" s="8">
        <f>IF(Data!AG5&lt;=QUARTILE(Data!AG$4:AG$153,1),1,IF(Data!AG5&lt;=MEDIAN(Data!AG$4:AG$153),2,IF(Data!AG5&lt;=QUARTILE(Data!AG$4:AG$153,3),3,4)))</f>
        <v>3</v>
      </c>
      <c r="AH5" s="9">
        <f>IF(Data!AH5&lt;=QUARTILE(Data!AH$4:AH$153,1),1,IF(Data!AH5&lt;=MEDIAN(Data!AH$4:AH$153),2,IF(Data!AH5&lt;=QUARTILE(Data!AH$4:AH$153,3),3,4)))</f>
        <v>1</v>
      </c>
    </row>
    <row r="6" spans="1:34" x14ac:dyDescent="0.25">
      <c r="A6" s="7" t="s">
        <v>29</v>
      </c>
      <c r="B6" s="14" t="s">
        <v>52</v>
      </c>
      <c r="C6" s="7">
        <v>35</v>
      </c>
      <c r="D6" s="8">
        <v>47</v>
      </c>
      <c r="E6" s="42" t="s">
        <v>59</v>
      </c>
      <c r="F6" s="9">
        <v>-1.19</v>
      </c>
      <c r="G6" s="7">
        <f>IF(Data!G6&lt;=QUARTILE(Data!G$4:G$153,1),1,IF(Data!G6&lt;=MEDIAN(Data!G$4:G$153),2,IF(Data!G6&lt;=QUARTILE(Data!G$4:G$153,3),3,4)))</f>
        <v>1</v>
      </c>
      <c r="H6" s="8">
        <f>IF(Data!H6&lt;=QUARTILE(Data!H$4:H$153,1),1,IF(Data!H6&lt;=MEDIAN(Data!H$4:H$153),2,IF(Data!H6&lt;=QUARTILE(Data!H$4:H$153,3),3,4)))</f>
        <v>1</v>
      </c>
      <c r="I6" s="8">
        <f>IF(Data!I6&lt;=QUARTILE(Data!I$4:I$153,1),1,IF(Data!I6&lt;=MEDIAN(Data!I$4:I$153),2,IF(Data!I6&lt;=QUARTILE(Data!I$4:I$153,3),3,4)))</f>
        <v>2</v>
      </c>
      <c r="J6" s="8">
        <f>IF(Data!J6&lt;=QUARTILE(Data!J$4:J$153,1),1,IF(Data!J6&lt;=MEDIAN(Data!J$4:J$153),2,IF(Data!J6&lt;=QUARTILE(Data!J$4:J$153,3),3,4)))</f>
        <v>2</v>
      </c>
      <c r="K6" s="8">
        <f>IF(Data!K6&lt;=QUARTILE(Data!K$4:K$153,1),1,IF(Data!K6&lt;=MEDIAN(Data!K$4:K$153),2,IF(Data!K6&lt;=QUARTILE(Data!K$4:K$153,3),3,4)))</f>
        <v>1</v>
      </c>
      <c r="L6" s="8">
        <f>IF(Data!L6&lt;=QUARTILE(Data!L$4:L$153,1),1,IF(Data!L6&lt;=MEDIAN(Data!L$4:L$153),2,IF(Data!L6&lt;=QUARTILE(Data!L$4:L$153,3),3,4)))</f>
        <v>1</v>
      </c>
      <c r="M6" s="8">
        <f>IF(Data!M6&lt;=QUARTILE(Data!M$4:M$153,1),1,IF(Data!M6&lt;=MEDIAN(Data!M$4:M$153),2,IF(Data!M6&lt;=QUARTILE(Data!M$4:M$153,3),3,4)))</f>
        <v>2</v>
      </c>
      <c r="N6" s="8">
        <f>IF(Data!N6&lt;=QUARTILE(Data!N$4:N$153,1),1,IF(Data!N6&lt;=MEDIAN(Data!N$4:N$153),2,IF(Data!N6&lt;=QUARTILE(Data!N$4:N$153,3),3,4)))</f>
        <v>1</v>
      </c>
      <c r="O6" s="8">
        <f>IF(Data!O6&lt;=QUARTILE(Data!O$4:O$153,1),1,IF(Data!O6&lt;=MEDIAN(Data!O$4:O$153),2,IF(Data!O6&lt;=QUARTILE(Data!O$4:O$153,3),3,4)))</f>
        <v>3</v>
      </c>
      <c r="P6" s="8">
        <f>IF(Data!P6&lt;=QUARTILE(Data!P$4:P$153,1),1,IF(Data!P6&lt;=MEDIAN(Data!P$4:P$153),2,IF(Data!P6&lt;=QUARTILE(Data!P$4:P$153,3),3,4)))</f>
        <v>2</v>
      </c>
      <c r="Q6" s="8">
        <f>IF(Data!Q6&lt;=QUARTILE(Data!Q$4:Q$153,1),1,IF(Data!Q6&lt;=MEDIAN(Data!Q$4:Q$153),2,IF(Data!Q6&lt;=QUARTILE(Data!Q$4:Q$153,3),3,4)))</f>
        <v>3</v>
      </c>
      <c r="R6" s="8">
        <f>IF(Data!R6&lt;=QUARTILE(Data!R$4:R$153,1),1,IF(Data!R6&lt;=MEDIAN(Data!R$4:R$153),2,IF(Data!R6&lt;=QUARTILE(Data!R$4:R$153,3),3,4)))</f>
        <v>4</v>
      </c>
      <c r="S6" s="8">
        <f>IF(Data!S6&lt;=QUARTILE(Data!S$4:S$153,1),1,IF(Data!S6&lt;=MEDIAN(Data!S$4:S$153),2,IF(Data!S6&lt;=QUARTILE(Data!S$4:S$153,3),3,4)))</f>
        <v>2</v>
      </c>
      <c r="T6" s="9">
        <f>IF(Data!T6&lt;=QUARTILE(Data!T$4:T$153,1),1,IF(Data!T6&lt;=MEDIAN(Data!T$4:T$153),2,IF(Data!T6&lt;=QUARTILE(Data!T$4:T$153,3),3,4)))</f>
        <v>1</v>
      </c>
      <c r="U6" s="7">
        <f>IF(Data!U6&lt;=QUARTILE(Data!U$4:U$153,1),1,IF(Data!U6&lt;=MEDIAN(Data!U$4:U$153),2,IF(Data!U6&lt;=QUARTILE(Data!U$4:U$153,3),3,4)))</f>
        <v>2</v>
      </c>
      <c r="V6" s="8">
        <f>IF(Data!V6&lt;=QUARTILE(Data!V$4:V$153,1),1,IF(Data!V6&lt;=MEDIAN(Data!V$4:V$153),2,IF(Data!V6&lt;=QUARTILE(Data!V$4:V$153,3),3,4)))</f>
        <v>1</v>
      </c>
      <c r="W6" s="8">
        <f>IF(Data!W6&lt;=QUARTILE(Data!W$4:W$153,1),1,IF(Data!W6&lt;=MEDIAN(Data!W$4:W$153),2,IF(Data!W6&lt;=QUARTILE(Data!W$4:W$153,3),3,4)))</f>
        <v>4</v>
      </c>
      <c r="X6" s="8">
        <f>IF(Data!X6&lt;=QUARTILE(Data!X$4:X$153,1),1,IF(Data!X6&lt;=MEDIAN(Data!X$4:X$153),2,IF(Data!X6&lt;=QUARTILE(Data!X$4:X$153,3),3,4)))</f>
        <v>4</v>
      </c>
      <c r="Y6" s="8">
        <f>IF(Data!Y6&lt;=QUARTILE(Data!Y$4:Y$153,1),1,IF(Data!Y6&lt;=MEDIAN(Data!Y$4:Y$153),2,IF(Data!Y6&lt;=QUARTILE(Data!Y$4:Y$153,3),3,4)))</f>
        <v>1</v>
      </c>
      <c r="Z6" s="8">
        <f>IF(Data!Z6&lt;=QUARTILE(Data!Z$4:Z$153,1),1,IF(Data!Z6&lt;=MEDIAN(Data!Z$4:Z$153),2,IF(Data!Z6&lt;=QUARTILE(Data!Z$4:Z$153,3),3,4)))</f>
        <v>1</v>
      </c>
      <c r="AA6" s="8">
        <f>IF(Data!AA6&lt;=QUARTILE(Data!AA$4:AA$153,1),1,IF(Data!AA6&lt;=MEDIAN(Data!AA$4:AA$153),2,IF(Data!AA6&lt;=QUARTILE(Data!AA$4:AA$153,3),3,4)))</f>
        <v>2</v>
      </c>
      <c r="AB6" s="8">
        <f>IF(Data!AB6&lt;=QUARTILE(Data!AB$4:AB$153,1),1,IF(Data!AB6&lt;=MEDIAN(Data!AB$4:AB$153),2,IF(Data!AB6&lt;=QUARTILE(Data!AB$4:AB$153,3),3,4)))</f>
        <v>1</v>
      </c>
      <c r="AC6" s="8">
        <f>IF(Data!AC6&lt;=QUARTILE(Data!AC$4:AC$153,1),1,IF(Data!AC6&lt;=MEDIAN(Data!AC$4:AC$153),2,IF(Data!AC6&lt;=QUARTILE(Data!AC$4:AC$153,3),3,4)))</f>
        <v>1</v>
      </c>
      <c r="AD6" s="8">
        <f>IF(Data!AD6&lt;=QUARTILE(Data!AD$4:AD$153,1),1,IF(Data!AD6&lt;=MEDIAN(Data!AD$4:AD$153),2,IF(Data!AD6&lt;=QUARTILE(Data!AD$4:AD$153,3),3,4)))</f>
        <v>3</v>
      </c>
      <c r="AE6" s="8">
        <f>IF(Data!AE6&lt;=QUARTILE(Data!AE$4:AE$153,1),1,IF(Data!AE6&lt;=MEDIAN(Data!AE$4:AE$153),2,IF(Data!AE6&lt;=QUARTILE(Data!AE$4:AE$153,3),3,4)))</f>
        <v>4</v>
      </c>
      <c r="AF6" s="8">
        <f>IF(Data!AF6&lt;=QUARTILE(Data!AF$4:AF$153,1),1,IF(Data!AF6&lt;=MEDIAN(Data!AF$4:AF$153),2,IF(Data!AF6&lt;=QUARTILE(Data!AF$4:AF$153,3),3,4)))</f>
        <v>3</v>
      </c>
      <c r="AG6" s="8">
        <f>IF(Data!AG6&lt;=QUARTILE(Data!AG$4:AG$153,1),1,IF(Data!AG6&lt;=MEDIAN(Data!AG$4:AG$153),2,IF(Data!AG6&lt;=QUARTILE(Data!AG$4:AG$153,3),3,4)))</f>
        <v>2</v>
      </c>
      <c r="AH6" s="9">
        <f>IF(Data!AH6&lt;=QUARTILE(Data!AH$4:AH$153,1),1,IF(Data!AH6&lt;=MEDIAN(Data!AH$4:AH$153),2,IF(Data!AH6&lt;=QUARTILE(Data!AH$4:AH$153,3),3,4)))</f>
        <v>1</v>
      </c>
    </row>
    <row r="7" spans="1:34" x14ac:dyDescent="0.25">
      <c r="A7" s="7" t="s">
        <v>53</v>
      </c>
      <c r="B7" s="14" t="s">
        <v>52</v>
      </c>
      <c r="C7" s="7">
        <v>41</v>
      </c>
      <c r="D7" s="8">
        <v>41</v>
      </c>
      <c r="E7" s="42" t="s">
        <v>58</v>
      </c>
      <c r="F7" s="9">
        <v>-0.16</v>
      </c>
      <c r="G7" s="7">
        <f>IF(Data!G7&lt;=QUARTILE(Data!G$4:G$153,1),1,IF(Data!G7&lt;=MEDIAN(Data!G$4:G$153),2,IF(Data!G7&lt;=QUARTILE(Data!G$4:G$153,3),3,4)))</f>
        <v>4</v>
      </c>
      <c r="H7" s="8">
        <f>IF(Data!H7&lt;=QUARTILE(Data!H$4:H$153,1),1,IF(Data!H7&lt;=MEDIAN(Data!H$4:H$153),2,IF(Data!H7&lt;=QUARTILE(Data!H$4:H$153,3),3,4)))</f>
        <v>4</v>
      </c>
      <c r="I7" s="8">
        <f>IF(Data!I7&lt;=QUARTILE(Data!I$4:I$153,1),1,IF(Data!I7&lt;=MEDIAN(Data!I$4:I$153),2,IF(Data!I7&lt;=QUARTILE(Data!I$4:I$153,3),3,4)))</f>
        <v>2</v>
      </c>
      <c r="J7" s="8">
        <f>IF(Data!J7&lt;=QUARTILE(Data!J$4:J$153,1),1,IF(Data!J7&lt;=MEDIAN(Data!J$4:J$153),2,IF(Data!J7&lt;=QUARTILE(Data!J$4:J$153,3),3,4)))</f>
        <v>2</v>
      </c>
      <c r="K7" s="8">
        <f>IF(Data!K7&lt;=QUARTILE(Data!K$4:K$153,1),1,IF(Data!K7&lt;=MEDIAN(Data!K$4:K$153),2,IF(Data!K7&lt;=QUARTILE(Data!K$4:K$153,3),3,4)))</f>
        <v>3</v>
      </c>
      <c r="L7" s="8">
        <f>IF(Data!L7&lt;=QUARTILE(Data!L$4:L$153,1),1,IF(Data!L7&lt;=MEDIAN(Data!L$4:L$153),2,IF(Data!L7&lt;=QUARTILE(Data!L$4:L$153,3),3,4)))</f>
        <v>2</v>
      </c>
      <c r="M7" s="8">
        <f>IF(Data!M7&lt;=QUARTILE(Data!M$4:M$153,1),1,IF(Data!M7&lt;=MEDIAN(Data!M$4:M$153),2,IF(Data!M7&lt;=QUARTILE(Data!M$4:M$153,3),3,4)))</f>
        <v>3</v>
      </c>
      <c r="N7" s="8">
        <f>IF(Data!N7&lt;=QUARTILE(Data!N$4:N$153,1),1,IF(Data!N7&lt;=MEDIAN(Data!N$4:N$153),2,IF(Data!N7&lt;=QUARTILE(Data!N$4:N$153,3),3,4)))</f>
        <v>3</v>
      </c>
      <c r="O7" s="8">
        <f>IF(Data!O7&lt;=QUARTILE(Data!O$4:O$153,1),1,IF(Data!O7&lt;=MEDIAN(Data!O$4:O$153),2,IF(Data!O7&lt;=QUARTILE(Data!O$4:O$153,3),3,4)))</f>
        <v>3</v>
      </c>
      <c r="P7" s="8">
        <f>IF(Data!P7&lt;=QUARTILE(Data!P$4:P$153,1),1,IF(Data!P7&lt;=MEDIAN(Data!P$4:P$153),2,IF(Data!P7&lt;=QUARTILE(Data!P$4:P$153,3),3,4)))</f>
        <v>3</v>
      </c>
      <c r="Q7" s="8">
        <f>IF(Data!Q7&lt;=QUARTILE(Data!Q$4:Q$153,1),1,IF(Data!Q7&lt;=MEDIAN(Data!Q$4:Q$153),2,IF(Data!Q7&lt;=QUARTILE(Data!Q$4:Q$153,3),3,4)))</f>
        <v>4</v>
      </c>
      <c r="R7" s="8">
        <f>IF(Data!R7&lt;=QUARTILE(Data!R$4:R$153,1),1,IF(Data!R7&lt;=MEDIAN(Data!R$4:R$153),2,IF(Data!R7&lt;=QUARTILE(Data!R$4:R$153,3),3,4)))</f>
        <v>3</v>
      </c>
      <c r="S7" s="8">
        <f>IF(Data!S7&lt;=QUARTILE(Data!S$4:S$153,1),1,IF(Data!S7&lt;=MEDIAN(Data!S$4:S$153),2,IF(Data!S7&lt;=QUARTILE(Data!S$4:S$153,3),3,4)))</f>
        <v>2</v>
      </c>
      <c r="T7" s="9">
        <f>IF(Data!T7&lt;=QUARTILE(Data!T$4:T$153,1),1,IF(Data!T7&lt;=MEDIAN(Data!T$4:T$153),2,IF(Data!T7&lt;=QUARTILE(Data!T$4:T$153,3),3,4)))</f>
        <v>4</v>
      </c>
      <c r="U7" s="7">
        <f>IF(Data!U7&lt;=QUARTILE(Data!U$4:U$153,1),1,IF(Data!U7&lt;=MEDIAN(Data!U$4:U$153),2,IF(Data!U7&lt;=QUARTILE(Data!U$4:U$153,3),3,4)))</f>
        <v>4</v>
      </c>
      <c r="V7" s="8">
        <f>IF(Data!V7&lt;=QUARTILE(Data!V$4:V$153,1),1,IF(Data!V7&lt;=MEDIAN(Data!V$4:V$153),2,IF(Data!V7&lt;=QUARTILE(Data!V$4:V$153,3),3,4)))</f>
        <v>4</v>
      </c>
      <c r="W7" s="8">
        <f>IF(Data!W7&lt;=QUARTILE(Data!W$4:W$153,1),1,IF(Data!W7&lt;=MEDIAN(Data!W$4:W$153),2,IF(Data!W7&lt;=QUARTILE(Data!W$4:W$153,3),3,4)))</f>
        <v>2</v>
      </c>
      <c r="X7" s="8">
        <f>IF(Data!X7&lt;=QUARTILE(Data!X$4:X$153,1),1,IF(Data!X7&lt;=MEDIAN(Data!X$4:X$153),2,IF(Data!X7&lt;=QUARTILE(Data!X$4:X$153,3),3,4)))</f>
        <v>2</v>
      </c>
      <c r="Y7" s="8">
        <f>IF(Data!Y7&lt;=QUARTILE(Data!Y$4:Y$153,1),1,IF(Data!Y7&lt;=MEDIAN(Data!Y$4:Y$153),2,IF(Data!Y7&lt;=QUARTILE(Data!Y$4:Y$153,3),3,4)))</f>
        <v>3</v>
      </c>
      <c r="Z7" s="8">
        <f>IF(Data!Z7&lt;=QUARTILE(Data!Z$4:Z$153,1),1,IF(Data!Z7&lt;=MEDIAN(Data!Z$4:Z$153),2,IF(Data!Z7&lt;=QUARTILE(Data!Z$4:Z$153,3),3,4)))</f>
        <v>2</v>
      </c>
      <c r="AA7" s="8">
        <f>IF(Data!AA7&lt;=QUARTILE(Data!AA$4:AA$153,1),1,IF(Data!AA7&lt;=MEDIAN(Data!AA$4:AA$153),2,IF(Data!AA7&lt;=QUARTILE(Data!AA$4:AA$153,3),3,4)))</f>
        <v>4</v>
      </c>
      <c r="AB7" s="8">
        <f>IF(Data!AB7&lt;=QUARTILE(Data!AB$4:AB$153,1),1,IF(Data!AB7&lt;=MEDIAN(Data!AB$4:AB$153),2,IF(Data!AB7&lt;=QUARTILE(Data!AB$4:AB$153,3),3,4)))</f>
        <v>3</v>
      </c>
      <c r="AC7" s="8">
        <f>IF(Data!AC7&lt;=QUARTILE(Data!AC$4:AC$153,1),1,IF(Data!AC7&lt;=MEDIAN(Data!AC$4:AC$153),2,IF(Data!AC7&lt;=QUARTILE(Data!AC$4:AC$153,3),3,4)))</f>
        <v>2</v>
      </c>
      <c r="AD7" s="8">
        <f>IF(Data!AD7&lt;=QUARTILE(Data!AD$4:AD$153,1),1,IF(Data!AD7&lt;=MEDIAN(Data!AD$4:AD$153),2,IF(Data!AD7&lt;=QUARTILE(Data!AD$4:AD$153,3),3,4)))</f>
        <v>3</v>
      </c>
      <c r="AE7" s="8">
        <f>IF(Data!AE7&lt;=QUARTILE(Data!AE$4:AE$153,1),1,IF(Data!AE7&lt;=MEDIAN(Data!AE$4:AE$153),2,IF(Data!AE7&lt;=QUARTILE(Data!AE$4:AE$153,3),3,4)))</f>
        <v>4</v>
      </c>
      <c r="AF7" s="8">
        <f>IF(Data!AF7&lt;=QUARTILE(Data!AF$4:AF$153,1),1,IF(Data!AF7&lt;=MEDIAN(Data!AF$4:AF$153),2,IF(Data!AF7&lt;=QUARTILE(Data!AF$4:AF$153,3),3,4)))</f>
        <v>2</v>
      </c>
      <c r="AG7" s="8">
        <f>IF(Data!AG7&lt;=QUARTILE(Data!AG$4:AG$153,1),1,IF(Data!AG7&lt;=MEDIAN(Data!AG$4:AG$153),2,IF(Data!AG7&lt;=QUARTILE(Data!AG$4:AG$153,3),3,4)))</f>
        <v>1</v>
      </c>
      <c r="AH7" s="9">
        <f>IF(Data!AH7&lt;=QUARTILE(Data!AH$4:AH$153,1),1,IF(Data!AH7&lt;=MEDIAN(Data!AH$4:AH$153),2,IF(Data!AH7&lt;=QUARTILE(Data!AH$4:AH$153,3),3,4)))</f>
        <v>4</v>
      </c>
    </row>
    <row r="8" spans="1:34" x14ac:dyDescent="0.25">
      <c r="A8" s="7" t="s">
        <v>69</v>
      </c>
      <c r="B8" s="14" t="s">
        <v>52</v>
      </c>
      <c r="C8" s="7">
        <v>66</v>
      </c>
      <c r="D8" s="8">
        <v>16</v>
      </c>
      <c r="E8" s="42" t="s">
        <v>58</v>
      </c>
      <c r="F8" s="9">
        <v>8.68</v>
      </c>
      <c r="G8" s="7">
        <f>IF(Data!G8&lt;=QUARTILE(Data!G$4:G$153,1),1,IF(Data!G8&lt;=MEDIAN(Data!G$4:G$153),2,IF(Data!G8&lt;=QUARTILE(Data!G$4:G$153,3),3,4)))</f>
        <v>3</v>
      </c>
      <c r="H8" s="8">
        <f>IF(Data!H8&lt;=QUARTILE(Data!H$4:H$153,1),1,IF(Data!H8&lt;=MEDIAN(Data!H$4:H$153),2,IF(Data!H8&lt;=QUARTILE(Data!H$4:H$153,3),3,4)))</f>
        <v>2</v>
      </c>
      <c r="I8" s="8">
        <f>IF(Data!I8&lt;=QUARTILE(Data!I$4:I$153,1),1,IF(Data!I8&lt;=MEDIAN(Data!I$4:I$153),2,IF(Data!I8&lt;=QUARTILE(Data!I$4:I$153,3),3,4)))</f>
        <v>4</v>
      </c>
      <c r="J8" s="8">
        <f>IF(Data!J8&lt;=QUARTILE(Data!J$4:J$153,1),1,IF(Data!J8&lt;=MEDIAN(Data!J$4:J$153),2,IF(Data!J8&lt;=QUARTILE(Data!J$4:J$153,3),3,4)))</f>
        <v>4</v>
      </c>
      <c r="K8" s="8">
        <f>IF(Data!K8&lt;=QUARTILE(Data!K$4:K$153,1),1,IF(Data!K8&lt;=MEDIAN(Data!K$4:K$153),2,IF(Data!K8&lt;=QUARTILE(Data!K$4:K$153,3),3,4)))</f>
        <v>2</v>
      </c>
      <c r="L8" s="8">
        <f>IF(Data!L8&lt;=QUARTILE(Data!L$4:L$153,1),1,IF(Data!L8&lt;=MEDIAN(Data!L$4:L$153),2,IF(Data!L8&lt;=QUARTILE(Data!L$4:L$153,3),3,4)))</f>
        <v>2</v>
      </c>
      <c r="M8" s="8">
        <f>IF(Data!M8&lt;=QUARTILE(Data!M$4:M$153,1),1,IF(Data!M8&lt;=MEDIAN(Data!M$4:M$153),2,IF(Data!M8&lt;=QUARTILE(Data!M$4:M$153,3),3,4)))</f>
        <v>2</v>
      </c>
      <c r="N8" s="8">
        <f>IF(Data!N8&lt;=QUARTILE(Data!N$4:N$153,1),1,IF(Data!N8&lt;=MEDIAN(Data!N$4:N$153),2,IF(Data!N8&lt;=QUARTILE(Data!N$4:N$153,3),3,4)))</f>
        <v>4</v>
      </c>
      <c r="O8" s="8">
        <f>IF(Data!O8&lt;=QUARTILE(Data!O$4:O$153,1),1,IF(Data!O8&lt;=MEDIAN(Data!O$4:O$153),2,IF(Data!O8&lt;=QUARTILE(Data!O$4:O$153,3),3,4)))</f>
        <v>2</v>
      </c>
      <c r="P8" s="8">
        <f>IF(Data!P8&lt;=QUARTILE(Data!P$4:P$153,1),1,IF(Data!P8&lt;=MEDIAN(Data!P$4:P$153),2,IF(Data!P8&lt;=QUARTILE(Data!P$4:P$153,3),3,4)))</f>
        <v>3</v>
      </c>
      <c r="Q8" s="8">
        <f>IF(Data!Q8&lt;=QUARTILE(Data!Q$4:Q$153,1),1,IF(Data!Q8&lt;=MEDIAN(Data!Q$4:Q$153),2,IF(Data!Q8&lt;=QUARTILE(Data!Q$4:Q$153,3),3,4)))</f>
        <v>3</v>
      </c>
      <c r="R8" s="8">
        <f>IF(Data!R8&lt;=QUARTILE(Data!R$4:R$153,1),1,IF(Data!R8&lt;=MEDIAN(Data!R$4:R$153),2,IF(Data!R8&lt;=QUARTILE(Data!R$4:R$153,3),3,4)))</f>
        <v>1</v>
      </c>
      <c r="S8" s="8">
        <f>IF(Data!S8&lt;=QUARTILE(Data!S$4:S$153,1),1,IF(Data!S8&lt;=MEDIAN(Data!S$4:S$153),2,IF(Data!S8&lt;=QUARTILE(Data!S$4:S$153,3),3,4)))</f>
        <v>1</v>
      </c>
      <c r="T8" s="9">
        <f>IF(Data!T8&lt;=QUARTILE(Data!T$4:T$153,1),1,IF(Data!T8&lt;=MEDIAN(Data!T$4:T$153),2,IF(Data!T8&lt;=QUARTILE(Data!T$4:T$153,3),3,4)))</f>
        <v>3</v>
      </c>
      <c r="U8" s="7">
        <f>IF(Data!U8&lt;=QUARTILE(Data!U$4:U$153,1),1,IF(Data!U8&lt;=MEDIAN(Data!U$4:U$153),2,IF(Data!U8&lt;=QUARTILE(Data!U$4:U$153,3),3,4)))</f>
        <v>1</v>
      </c>
      <c r="V8" s="8">
        <f>IF(Data!V8&lt;=QUARTILE(Data!V$4:V$153,1),1,IF(Data!V8&lt;=MEDIAN(Data!V$4:V$153),2,IF(Data!V8&lt;=QUARTILE(Data!V$4:V$153,3),3,4)))</f>
        <v>2</v>
      </c>
      <c r="W8" s="8">
        <f>IF(Data!W8&lt;=QUARTILE(Data!W$4:W$153,1),1,IF(Data!W8&lt;=MEDIAN(Data!W$4:W$153),2,IF(Data!W8&lt;=QUARTILE(Data!W$4:W$153,3),3,4)))</f>
        <v>2</v>
      </c>
      <c r="X8" s="8">
        <f>IF(Data!X8&lt;=QUARTILE(Data!X$4:X$153,1),1,IF(Data!X8&lt;=MEDIAN(Data!X$4:X$153),2,IF(Data!X8&lt;=QUARTILE(Data!X$4:X$153,3),3,4)))</f>
        <v>3</v>
      </c>
      <c r="Y8" s="8">
        <f>IF(Data!Y8&lt;=QUARTILE(Data!Y$4:Y$153,1),1,IF(Data!Y8&lt;=MEDIAN(Data!Y$4:Y$153),2,IF(Data!Y8&lt;=QUARTILE(Data!Y$4:Y$153,3),3,4)))</f>
        <v>1</v>
      </c>
      <c r="Z8" s="8">
        <f>IF(Data!Z8&lt;=QUARTILE(Data!Z$4:Z$153,1),1,IF(Data!Z8&lt;=MEDIAN(Data!Z$4:Z$153),2,IF(Data!Z8&lt;=QUARTILE(Data!Z$4:Z$153,3),3,4)))</f>
        <v>1</v>
      </c>
      <c r="AA8" s="8">
        <f>IF(Data!AA8&lt;=QUARTILE(Data!AA$4:AA$153,1),1,IF(Data!AA8&lt;=MEDIAN(Data!AA$4:AA$153),2,IF(Data!AA8&lt;=QUARTILE(Data!AA$4:AA$153,3),3,4)))</f>
        <v>2</v>
      </c>
      <c r="AB8" s="8">
        <f>IF(Data!AB8&lt;=QUARTILE(Data!AB$4:AB$153,1),1,IF(Data!AB8&lt;=MEDIAN(Data!AB$4:AB$153),2,IF(Data!AB8&lt;=QUARTILE(Data!AB$4:AB$153,3),3,4)))</f>
        <v>1</v>
      </c>
      <c r="AC8" s="8">
        <f>IF(Data!AC8&lt;=QUARTILE(Data!AC$4:AC$153,1),1,IF(Data!AC8&lt;=MEDIAN(Data!AC$4:AC$153),2,IF(Data!AC8&lt;=QUARTILE(Data!AC$4:AC$153,3),3,4)))</f>
        <v>1</v>
      </c>
      <c r="AD8" s="8">
        <f>IF(Data!AD8&lt;=QUARTILE(Data!AD$4:AD$153,1),1,IF(Data!AD8&lt;=MEDIAN(Data!AD$4:AD$153),2,IF(Data!AD8&lt;=QUARTILE(Data!AD$4:AD$153,3),3,4)))</f>
        <v>1</v>
      </c>
      <c r="AE8" s="8">
        <f>IF(Data!AE8&lt;=QUARTILE(Data!AE$4:AE$153,1),1,IF(Data!AE8&lt;=MEDIAN(Data!AE$4:AE$153),2,IF(Data!AE8&lt;=QUARTILE(Data!AE$4:AE$153,3),3,4)))</f>
        <v>1</v>
      </c>
      <c r="AF8" s="8">
        <f>IF(Data!AF8&lt;=QUARTILE(Data!AF$4:AF$153,1),1,IF(Data!AF8&lt;=MEDIAN(Data!AF$4:AF$153),2,IF(Data!AF8&lt;=QUARTILE(Data!AF$4:AF$153,3),3,4)))</f>
        <v>2</v>
      </c>
      <c r="AG8" s="8">
        <f>IF(Data!AG8&lt;=QUARTILE(Data!AG$4:AG$153,1),1,IF(Data!AG8&lt;=MEDIAN(Data!AG$4:AG$153),2,IF(Data!AG8&lt;=QUARTILE(Data!AG$4:AG$153,3),3,4)))</f>
        <v>1</v>
      </c>
      <c r="AH8" s="9">
        <f>IF(Data!AH8&lt;=QUARTILE(Data!AH$4:AH$153,1),1,IF(Data!AH8&lt;=MEDIAN(Data!AH$4:AH$153),2,IF(Data!AH8&lt;=QUARTILE(Data!AH$4:AH$153,3),3,4)))</f>
        <v>1</v>
      </c>
    </row>
    <row r="9" spans="1:34" x14ac:dyDescent="0.25">
      <c r="A9" s="7" t="s">
        <v>73</v>
      </c>
      <c r="B9" s="14" t="s">
        <v>52</v>
      </c>
      <c r="C9" s="7">
        <v>50</v>
      </c>
      <c r="D9" s="8">
        <v>32</v>
      </c>
      <c r="E9" s="42" t="s">
        <v>58</v>
      </c>
      <c r="F9" s="9">
        <v>1.68</v>
      </c>
      <c r="G9" s="7">
        <f>IF(Data!G9&lt;=QUARTILE(Data!G$4:G$153,1),1,IF(Data!G9&lt;=MEDIAN(Data!G$4:G$153),2,IF(Data!G9&lt;=QUARTILE(Data!G$4:G$153,3),3,4)))</f>
        <v>4</v>
      </c>
      <c r="H9" s="8">
        <f>IF(Data!H9&lt;=QUARTILE(Data!H$4:H$153,1),1,IF(Data!H9&lt;=MEDIAN(Data!H$4:H$153),2,IF(Data!H9&lt;=QUARTILE(Data!H$4:H$153,3),3,4)))</f>
        <v>4</v>
      </c>
      <c r="I9" s="8">
        <f>IF(Data!I9&lt;=QUARTILE(Data!I$4:I$153,1),1,IF(Data!I9&lt;=MEDIAN(Data!I$4:I$153),2,IF(Data!I9&lt;=QUARTILE(Data!I$4:I$153,3),3,4)))</f>
        <v>3</v>
      </c>
      <c r="J9" s="8">
        <f>IF(Data!J9&lt;=QUARTILE(Data!J$4:J$153,1),1,IF(Data!J9&lt;=MEDIAN(Data!J$4:J$153),2,IF(Data!J9&lt;=QUARTILE(Data!J$4:J$153,3),3,4)))</f>
        <v>4</v>
      </c>
      <c r="K9" s="8">
        <f>IF(Data!K9&lt;=QUARTILE(Data!K$4:K$153,1),1,IF(Data!K9&lt;=MEDIAN(Data!K$4:K$153),2,IF(Data!K9&lt;=QUARTILE(Data!K$4:K$153,3),3,4)))</f>
        <v>2</v>
      </c>
      <c r="L9" s="8">
        <f>IF(Data!L9&lt;=QUARTILE(Data!L$4:L$153,1),1,IF(Data!L9&lt;=MEDIAN(Data!L$4:L$153),2,IF(Data!L9&lt;=QUARTILE(Data!L$4:L$153,3),3,4)))</f>
        <v>1</v>
      </c>
      <c r="M9" s="8">
        <f>IF(Data!M9&lt;=QUARTILE(Data!M$4:M$153,1),1,IF(Data!M9&lt;=MEDIAN(Data!M$4:M$153),2,IF(Data!M9&lt;=QUARTILE(Data!M$4:M$153,3),3,4)))</f>
        <v>2</v>
      </c>
      <c r="N9" s="8">
        <f>IF(Data!N9&lt;=QUARTILE(Data!N$4:N$153,1),1,IF(Data!N9&lt;=MEDIAN(Data!N$4:N$153),2,IF(Data!N9&lt;=QUARTILE(Data!N$4:N$153,3),3,4)))</f>
        <v>4</v>
      </c>
      <c r="O9" s="8">
        <f>IF(Data!O9&lt;=QUARTILE(Data!O$4:O$153,1),1,IF(Data!O9&lt;=MEDIAN(Data!O$4:O$153),2,IF(Data!O9&lt;=QUARTILE(Data!O$4:O$153,3),3,4)))</f>
        <v>3</v>
      </c>
      <c r="P9" s="8">
        <f>IF(Data!P9&lt;=QUARTILE(Data!P$4:P$153,1),1,IF(Data!P9&lt;=MEDIAN(Data!P$4:P$153),2,IF(Data!P9&lt;=QUARTILE(Data!P$4:P$153,3),3,4)))</f>
        <v>3</v>
      </c>
      <c r="Q9" s="8">
        <f>IF(Data!Q9&lt;=QUARTILE(Data!Q$4:Q$153,1),1,IF(Data!Q9&lt;=MEDIAN(Data!Q$4:Q$153),2,IF(Data!Q9&lt;=QUARTILE(Data!Q$4:Q$153,3),3,4)))</f>
        <v>3</v>
      </c>
      <c r="R9" s="8">
        <f>IF(Data!R9&lt;=QUARTILE(Data!R$4:R$153,1),1,IF(Data!R9&lt;=MEDIAN(Data!R$4:R$153),2,IF(Data!R9&lt;=QUARTILE(Data!R$4:R$153,3),3,4)))</f>
        <v>1</v>
      </c>
      <c r="S9" s="8">
        <f>IF(Data!S9&lt;=QUARTILE(Data!S$4:S$153,1),1,IF(Data!S9&lt;=MEDIAN(Data!S$4:S$153),2,IF(Data!S9&lt;=QUARTILE(Data!S$4:S$153,3),3,4)))</f>
        <v>1</v>
      </c>
      <c r="T9" s="9">
        <f>IF(Data!T9&lt;=QUARTILE(Data!T$4:T$153,1),1,IF(Data!T9&lt;=MEDIAN(Data!T$4:T$153),2,IF(Data!T9&lt;=QUARTILE(Data!T$4:T$153,3),3,4)))</f>
        <v>4</v>
      </c>
      <c r="U9" s="7">
        <f>IF(Data!U9&lt;=QUARTILE(Data!U$4:U$153,1),1,IF(Data!U9&lt;=MEDIAN(Data!U$4:U$153),2,IF(Data!U9&lt;=QUARTILE(Data!U$4:U$153,3),3,4)))</f>
        <v>3</v>
      </c>
      <c r="V9" s="8">
        <f>IF(Data!V9&lt;=QUARTILE(Data!V$4:V$153,1),1,IF(Data!V9&lt;=MEDIAN(Data!V$4:V$153),2,IF(Data!V9&lt;=QUARTILE(Data!V$4:V$153,3),3,4)))</f>
        <v>4</v>
      </c>
      <c r="W9" s="8">
        <f>IF(Data!W9&lt;=QUARTILE(Data!W$4:W$153,1),1,IF(Data!W9&lt;=MEDIAN(Data!W$4:W$153),2,IF(Data!W9&lt;=QUARTILE(Data!W$4:W$153,3),3,4)))</f>
        <v>3</v>
      </c>
      <c r="X9" s="8">
        <f>IF(Data!X9&lt;=QUARTILE(Data!X$4:X$153,1),1,IF(Data!X9&lt;=MEDIAN(Data!X$4:X$153),2,IF(Data!X9&lt;=QUARTILE(Data!X$4:X$153,3),3,4)))</f>
        <v>2</v>
      </c>
      <c r="Y9" s="8">
        <f>IF(Data!Y9&lt;=QUARTILE(Data!Y$4:Y$153,1),1,IF(Data!Y9&lt;=MEDIAN(Data!Y$4:Y$153),2,IF(Data!Y9&lt;=QUARTILE(Data!Y$4:Y$153,3),3,4)))</f>
        <v>2</v>
      </c>
      <c r="Z9" s="8">
        <f>IF(Data!Z9&lt;=QUARTILE(Data!Z$4:Z$153,1),1,IF(Data!Z9&lt;=MEDIAN(Data!Z$4:Z$153),2,IF(Data!Z9&lt;=QUARTILE(Data!Z$4:Z$153,3),3,4)))</f>
        <v>1</v>
      </c>
      <c r="AA9" s="8">
        <f>IF(Data!AA9&lt;=QUARTILE(Data!AA$4:AA$153,1),1,IF(Data!AA9&lt;=MEDIAN(Data!AA$4:AA$153),2,IF(Data!AA9&lt;=QUARTILE(Data!AA$4:AA$153,3),3,4)))</f>
        <v>2</v>
      </c>
      <c r="AB9" s="8">
        <f>IF(Data!AB9&lt;=QUARTILE(Data!AB$4:AB$153,1),1,IF(Data!AB9&lt;=MEDIAN(Data!AB$4:AB$153),2,IF(Data!AB9&lt;=QUARTILE(Data!AB$4:AB$153,3),3,4)))</f>
        <v>3</v>
      </c>
      <c r="AC9" s="8">
        <f>IF(Data!AC9&lt;=QUARTILE(Data!AC$4:AC$153,1),1,IF(Data!AC9&lt;=MEDIAN(Data!AC$4:AC$153),2,IF(Data!AC9&lt;=QUARTILE(Data!AC$4:AC$153,3),3,4)))</f>
        <v>1</v>
      </c>
      <c r="AD9" s="8">
        <f>IF(Data!AD9&lt;=QUARTILE(Data!AD$4:AD$153,1),1,IF(Data!AD9&lt;=MEDIAN(Data!AD$4:AD$153),2,IF(Data!AD9&lt;=QUARTILE(Data!AD$4:AD$153,3),3,4)))</f>
        <v>2</v>
      </c>
      <c r="AE9" s="8">
        <f>IF(Data!AE9&lt;=QUARTILE(Data!AE$4:AE$153,1),1,IF(Data!AE9&lt;=MEDIAN(Data!AE$4:AE$153),2,IF(Data!AE9&lt;=QUARTILE(Data!AE$4:AE$153,3),3,4)))</f>
        <v>1</v>
      </c>
      <c r="AF9" s="8">
        <f>IF(Data!AF9&lt;=QUARTILE(Data!AF$4:AF$153,1),1,IF(Data!AF9&lt;=MEDIAN(Data!AF$4:AF$153),2,IF(Data!AF9&lt;=QUARTILE(Data!AF$4:AF$153,3),3,4)))</f>
        <v>1</v>
      </c>
      <c r="AG9" s="8">
        <f>IF(Data!AG9&lt;=QUARTILE(Data!AG$4:AG$153,1),1,IF(Data!AG9&lt;=MEDIAN(Data!AG$4:AG$153),2,IF(Data!AG9&lt;=QUARTILE(Data!AG$4:AG$153,3),3,4)))</f>
        <v>1</v>
      </c>
      <c r="AH9" s="9">
        <f>IF(Data!AH9&lt;=QUARTILE(Data!AH$4:AH$153,1),1,IF(Data!AH9&lt;=MEDIAN(Data!AH$4:AH$153),2,IF(Data!AH9&lt;=QUARTILE(Data!AH$4:AH$153,3),3,4)))</f>
        <v>3</v>
      </c>
    </row>
    <row r="10" spans="1:34" x14ac:dyDescent="0.25">
      <c r="A10" s="7" t="s">
        <v>74</v>
      </c>
      <c r="B10" s="14" t="s">
        <v>52</v>
      </c>
      <c r="C10" s="7">
        <v>54</v>
      </c>
      <c r="D10" s="8">
        <v>28</v>
      </c>
      <c r="E10" s="42" t="s">
        <v>58</v>
      </c>
      <c r="F10" s="9">
        <v>3.13</v>
      </c>
      <c r="G10" s="7">
        <f>IF(Data!G10&lt;=QUARTILE(Data!G$4:G$153,1),1,IF(Data!G10&lt;=MEDIAN(Data!G$4:G$153),2,IF(Data!G10&lt;=QUARTILE(Data!G$4:G$153,3),3,4)))</f>
        <v>4</v>
      </c>
      <c r="H10" s="8">
        <f>IF(Data!H10&lt;=QUARTILE(Data!H$4:H$153,1),1,IF(Data!H10&lt;=MEDIAN(Data!H$4:H$153),2,IF(Data!H10&lt;=QUARTILE(Data!H$4:H$153,3),3,4)))</f>
        <v>2</v>
      </c>
      <c r="I10" s="8">
        <f>IF(Data!I10&lt;=QUARTILE(Data!I$4:I$153,1),1,IF(Data!I10&lt;=MEDIAN(Data!I$4:I$153),2,IF(Data!I10&lt;=QUARTILE(Data!I$4:I$153,3),3,4)))</f>
        <v>3</v>
      </c>
      <c r="J10" s="8">
        <f>IF(Data!J10&lt;=QUARTILE(Data!J$4:J$153,1),1,IF(Data!J10&lt;=MEDIAN(Data!J$4:J$153),2,IF(Data!J10&lt;=QUARTILE(Data!J$4:J$153,3),3,4)))</f>
        <v>3</v>
      </c>
      <c r="K10" s="8">
        <f>IF(Data!K10&lt;=QUARTILE(Data!K$4:K$153,1),1,IF(Data!K10&lt;=MEDIAN(Data!K$4:K$153),2,IF(Data!K10&lt;=QUARTILE(Data!K$4:K$153,3),3,4)))</f>
        <v>4</v>
      </c>
      <c r="L10" s="8">
        <f>IF(Data!L10&lt;=QUARTILE(Data!L$4:L$153,1),1,IF(Data!L10&lt;=MEDIAN(Data!L$4:L$153),2,IF(Data!L10&lt;=QUARTILE(Data!L$4:L$153,3),3,4)))</f>
        <v>4</v>
      </c>
      <c r="M10" s="8">
        <f>IF(Data!M10&lt;=QUARTILE(Data!M$4:M$153,1),1,IF(Data!M10&lt;=MEDIAN(Data!M$4:M$153),2,IF(Data!M10&lt;=QUARTILE(Data!M$4:M$153,3),3,4)))</f>
        <v>2</v>
      </c>
      <c r="N10" s="8">
        <f>IF(Data!N10&lt;=QUARTILE(Data!N$4:N$153,1),1,IF(Data!N10&lt;=MEDIAN(Data!N$4:N$153),2,IF(Data!N10&lt;=QUARTILE(Data!N$4:N$153,3),3,4)))</f>
        <v>3</v>
      </c>
      <c r="O10" s="8">
        <f>IF(Data!O10&lt;=QUARTILE(Data!O$4:O$153,1),1,IF(Data!O10&lt;=MEDIAN(Data!O$4:O$153),2,IF(Data!O10&lt;=QUARTILE(Data!O$4:O$153,3),3,4)))</f>
        <v>4</v>
      </c>
      <c r="P10" s="8">
        <f>IF(Data!P10&lt;=QUARTILE(Data!P$4:P$153,1),1,IF(Data!P10&lt;=MEDIAN(Data!P$4:P$153),2,IF(Data!P10&lt;=QUARTILE(Data!P$4:P$153,3),3,4)))</f>
        <v>4</v>
      </c>
      <c r="Q10" s="8">
        <f>IF(Data!Q10&lt;=QUARTILE(Data!Q$4:Q$153,1),1,IF(Data!Q10&lt;=MEDIAN(Data!Q$4:Q$153),2,IF(Data!Q10&lt;=QUARTILE(Data!Q$4:Q$153,3),3,4)))</f>
        <v>4</v>
      </c>
      <c r="R10" s="8">
        <f>IF(Data!R10&lt;=QUARTILE(Data!R$4:R$153,1),1,IF(Data!R10&lt;=MEDIAN(Data!R$4:R$153),2,IF(Data!R10&lt;=QUARTILE(Data!R$4:R$153,3),3,4)))</f>
        <v>4</v>
      </c>
      <c r="S10" s="8">
        <f>IF(Data!S10&lt;=QUARTILE(Data!S$4:S$153,1),1,IF(Data!S10&lt;=MEDIAN(Data!S$4:S$153),2,IF(Data!S10&lt;=QUARTILE(Data!S$4:S$153,3),3,4)))</f>
        <v>3</v>
      </c>
      <c r="T10" s="9">
        <f>IF(Data!T10&lt;=QUARTILE(Data!T$4:T$153,1),1,IF(Data!T10&lt;=MEDIAN(Data!T$4:T$153),2,IF(Data!T10&lt;=QUARTILE(Data!T$4:T$153,3),3,4)))</f>
        <v>4</v>
      </c>
      <c r="U10" s="7">
        <f>IF(Data!U10&lt;=QUARTILE(Data!U$4:U$153,1),1,IF(Data!U10&lt;=MEDIAN(Data!U$4:U$153),2,IF(Data!U10&lt;=QUARTILE(Data!U$4:U$153,3),3,4)))</f>
        <v>2</v>
      </c>
      <c r="V10" s="8">
        <f>IF(Data!V10&lt;=QUARTILE(Data!V$4:V$153,1),1,IF(Data!V10&lt;=MEDIAN(Data!V$4:V$153),2,IF(Data!V10&lt;=QUARTILE(Data!V$4:V$153,3),3,4)))</f>
        <v>4</v>
      </c>
      <c r="W10" s="8">
        <f>IF(Data!W10&lt;=QUARTILE(Data!W$4:W$153,1),1,IF(Data!W10&lt;=MEDIAN(Data!W$4:W$153),2,IF(Data!W10&lt;=QUARTILE(Data!W$4:W$153,3),3,4)))</f>
        <v>4</v>
      </c>
      <c r="X10" s="8">
        <f>IF(Data!X10&lt;=QUARTILE(Data!X$4:X$153,1),1,IF(Data!X10&lt;=MEDIAN(Data!X$4:X$153),2,IF(Data!X10&lt;=QUARTILE(Data!X$4:X$153,3),3,4)))</f>
        <v>4</v>
      </c>
      <c r="Y10" s="8">
        <f>IF(Data!Y10&lt;=QUARTILE(Data!Y$4:Y$153,1),1,IF(Data!Y10&lt;=MEDIAN(Data!Y$4:Y$153),2,IF(Data!Y10&lt;=QUARTILE(Data!Y$4:Y$153,3),3,4)))</f>
        <v>4</v>
      </c>
      <c r="Z10" s="8">
        <f>IF(Data!Z10&lt;=QUARTILE(Data!Z$4:Z$153,1),1,IF(Data!Z10&lt;=MEDIAN(Data!Z$4:Z$153),2,IF(Data!Z10&lt;=QUARTILE(Data!Z$4:Z$153,3),3,4)))</f>
        <v>3</v>
      </c>
      <c r="AA10" s="8">
        <f>IF(Data!AA10&lt;=QUARTILE(Data!AA$4:AA$153,1),1,IF(Data!AA10&lt;=MEDIAN(Data!AA$4:AA$153),2,IF(Data!AA10&lt;=QUARTILE(Data!AA$4:AA$153,3),3,4)))</f>
        <v>4</v>
      </c>
      <c r="AB10" s="8">
        <f>IF(Data!AB10&lt;=QUARTILE(Data!AB$4:AB$153,1),1,IF(Data!AB10&lt;=MEDIAN(Data!AB$4:AB$153),2,IF(Data!AB10&lt;=QUARTILE(Data!AB$4:AB$153,3),3,4)))</f>
        <v>1</v>
      </c>
      <c r="AC10" s="8">
        <f>IF(Data!AC10&lt;=QUARTILE(Data!AC$4:AC$153,1),1,IF(Data!AC10&lt;=MEDIAN(Data!AC$4:AC$153),2,IF(Data!AC10&lt;=QUARTILE(Data!AC$4:AC$153,3),3,4)))</f>
        <v>3</v>
      </c>
      <c r="AD10" s="8">
        <f>IF(Data!AD10&lt;=QUARTILE(Data!AD$4:AD$153,1),1,IF(Data!AD10&lt;=MEDIAN(Data!AD$4:AD$153),2,IF(Data!AD10&lt;=QUARTILE(Data!AD$4:AD$153,3),3,4)))</f>
        <v>4</v>
      </c>
      <c r="AE10" s="8">
        <f>IF(Data!AE10&lt;=QUARTILE(Data!AE$4:AE$153,1),1,IF(Data!AE10&lt;=MEDIAN(Data!AE$4:AE$153),2,IF(Data!AE10&lt;=QUARTILE(Data!AE$4:AE$153,3),3,4)))</f>
        <v>4</v>
      </c>
      <c r="AF10" s="8">
        <f>IF(Data!AF10&lt;=QUARTILE(Data!AF$4:AF$153,1),1,IF(Data!AF10&lt;=MEDIAN(Data!AF$4:AF$153),2,IF(Data!AF10&lt;=QUARTILE(Data!AF$4:AF$153,3),3,4)))</f>
        <v>4</v>
      </c>
      <c r="AG10" s="8">
        <f>IF(Data!AG10&lt;=QUARTILE(Data!AG$4:AG$153,1),1,IF(Data!AG10&lt;=MEDIAN(Data!AG$4:AG$153),2,IF(Data!AG10&lt;=QUARTILE(Data!AG$4:AG$153,3),3,4)))</f>
        <v>4</v>
      </c>
      <c r="AH10" s="9">
        <f>IF(Data!AH10&lt;=QUARTILE(Data!AH$4:AH$153,1),1,IF(Data!AH10&lt;=MEDIAN(Data!AH$4:AH$153),2,IF(Data!AH10&lt;=QUARTILE(Data!AH$4:AH$153,3),3,4)))</f>
        <v>3</v>
      </c>
    </row>
    <row r="11" spans="1:34" x14ac:dyDescent="0.25">
      <c r="A11" s="7" t="s">
        <v>75</v>
      </c>
      <c r="B11" s="14" t="s">
        <v>52</v>
      </c>
      <c r="C11" s="7">
        <v>39</v>
      </c>
      <c r="D11" s="8">
        <v>43</v>
      </c>
      <c r="E11" s="42" t="s">
        <v>58</v>
      </c>
      <c r="F11" s="9">
        <v>-0.36</v>
      </c>
      <c r="G11" s="7">
        <f>IF(Data!G11&lt;=QUARTILE(Data!G$4:G$153,1),1,IF(Data!G11&lt;=MEDIAN(Data!G$4:G$153),2,IF(Data!G11&lt;=QUARTILE(Data!G$4:G$153,3),3,4)))</f>
        <v>2</v>
      </c>
      <c r="H11" s="8">
        <f>IF(Data!H11&lt;=QUARTILE(Data!H$4:H$153,1),1,IF(Data!H11&lt;=MEDIAN(Data!H$4:H$153),2,IF(Data!H11&lt;=QUARTILE(Data!H$4:H$153,3),3,4)))</f>
        <v>3</v>
      </c>
      <c r="I11" s="8">
        <f>IF(Data!I11&lt;=QUARTILE(Data!I$4:I$153,1),1,IF(Data!I11&lt;=MEDIAN(Data!I$4:I$153),2,IF(Data!I11&lt;=QUARTILE(Data!I$4:I$153,3),3,4)))</f>
        <v>1</v>
      </c>
      <c r="J11" s="8">
        <f>IF(Data!J11&lt;=QUARTILE(Data!J$4:J$153,1),1,IF(Data!J11&lt;=MEDIAN(Data!J$4:J$153),2,IF(Data!J11&lt;=QUARTILE(Data!J$4:J$153,3),3,4)))</f>
        <v>1</v>
      </c>
      <c r="K11" s="8">
        <f>IF(Data!K11&lt;=QUARTILE(Data!K$4:K$153,1),1,IF(Data!K11&lt;=MEDIAN(Data!K$4:K$153),2,IF(Data!K11&lt;=QUARTILE(Data!K$4:K$153,3),3,4)))</f>
        <v>1</v>
      </c>
      <c r="L11" s="8">
        <f>IF(Data!L11&lt;=QUARTILE(Data!L$4:L$153,1),1,IF(Data!L11&lt;=MEDIAN(Data!L$4:L$153),2,IF(Data!L11&lt;=QUARTILE(Data!L$4:L$153,3),3,4)))</f>
        <v>1</v>
      </c>
      <c r="M11" s="8">
        <f>IF(Data!M11&lt;=QUARTILE(Data!M$4:M$153,1),1,IF(Data!M11&lt;=MEDIAN(Data!M$4:M$153),2,IF(Data!M11&lt;=QUARTILE(Data!M$4:M$153,3),3,4)))</f>
        <v>3</v>
      </c>
      <c r="N11" s="8">
        <f>IF(Data!N11&lt;=QUARTILE(Data!N$4:N$153,1),1,IF(Data!N11&lt;=MEDIAN(Data!N$4:N$153),2,IF(Data!N11&lt;=QUARTILE(Data!N$4:N$153,3),3,4)))</f>
        <v>2</v>
      </c>
      <c r="O11" s="8">
        <f>IF(Data!O11&lt;=QUARTILE(Data!O$4:O$153,1),1,IF(Data!O11&lt;=MEDIAN(Data!O$4:O$153),2,IF(Data!O11&lt;=QUARTILE(Data!O$4:O$153,3),3,4)))</f>
        <v>2</v>
      </c>
      <c r="P11" s="8">
        <f>IF(Data!P11&lt;=QUARTILE(Data!P$4:P$153,1),1,IF(Data!P11&lt;=MEDIAN(Data!P$4:P$153),2,IF(Data!P11&lt;=QUARTILE(Data!P$4:P$153,3),3,4)))</f>
        <v>1</v>
      </c>
      <c r="Q11" s="8">
        <f>IF(Data!Q11&lt;=QUARTILE(Data!Q$4:Q$153,1),1,IF(Data!Q11&lt;=MEDIAN(Data!Q$4:Q$153),2,IF(Data!Q11&lt;=QUARTILE(Data!Q$4:Q$153,3),3,4)))</f>
        <v>2</v>
      </c>
      <c r="R11" s="8">
        <f>IF(Data!R11&lt;=QUARTILE(Data!R$4:R$153,1),1,IF(Data!R11&lt;=MEDIAN(Data!R$4:R$153),2,IF(Data!R11&lt;=QUARTILE(Data!R$4:R$153,3),3,4)))</f>
        <v>1</v>
      </c>
      <c r="S11" s="8">
        <f>IF(Data!S11&lt;=QUARTILE(Data!S$4:S$153,1),1,IF(Data!S11&lt;=MEDIAN(Data!S$4:S$153),2,IF(Data!S11&lt;=QUARTILE(Data!S$4:S$153,3),3,4)))</f>
        <v>2</v>
      </c>
      <c r="T11" s="9">
        <f>IF(Data!T11&lt;=QUARTILE(Data!T$4:T$153,1),1,IF(Data!T11&lt;=MEDIAN(Data!T$4:T$153),2,IF(Data!T11&lt;=QUARTILE(Data!T$4:T$153,3),3,4)))</f>
        <v>1</v>
      </c>
      <c r="U11" s="7">
        <f>IF(Data!U11&lt;=QUARTILE(Data!U$4:U$153,1),1,IF(Data!U11&lt;=MEDIAN(Data!U$4:U$153),2,IF(Data!U11&lt;=QUARTILE(Data!U$4:U$153,3),3,4)))</f>
        <v>1</v>
      </c>
      <c r="V11" s="8">
        <f>IF(Data!V11&lt;=QUARTILE(Data!V$4:V$153,1),1,IF(Data!V11&lt;=MEDIAN(Data!V$4:V$153),2,IF(Data!V11&lt;=QUARTILE(Data!V$4:V$153,3),3,4)))</f>
        <v>1</v>
      </c>
      <c r="W11" s="8">
        <f>IF(Data!W11&lt;=QUARTILE(Data!W$4:W$153,1),1,IF(Data!W11&lt;=MEDIAN(Data!W$4:W$153),2,IF(Data!W11&lt;=QUARTILE(Data!W$4:W$153,3),3,4)))</f>
        <v>1</v>
      </c>
      <c r="X11" s="8">
        <f>IF(Data!X11&lt;=QUARTILE(Data!X$4:X$153,1),1,IF(Data!X11&lt;=MEDIAN(Data!X$4:X$153),2,IF(Data!X11&lt;=QUARTILE(Data!X$4:X$153,3),3,4)))</f>
        <v>1</v>
      </c>
      <c r="Y11" s="8">
        <f>IF(Data!Y11&lt;=QUARTILE(Data!Y$4:Y$153,1),1,IF(Data!Y11&lt;=MEDIAN(Data!Y$4:Y$153),2,IF(Data!Y11&lt;=QUARTILE(Data!Y$4:Y$153,3),3,4)))</f>
        <v>2</v>
      </c>
      <c r="Z11" s="8">
        <f>IF(Data!Z11&lt;=QUARTILE(Data!Z$4:Z$153,1),1,IF(Data!Z11&lt;=MEDIAN(Data!Z$4:Z$153),2,IF(Data!Z11&lt;=QUARTILE(Data!Z$4:Z$153,3),3,4)))</f>
        <v>2</v>
      </c>
      <c r="AA11" s="8">
        <f>IF(Data!AA11&lt;=QUARTILE(Data!AA$4:AA$153,1),1,IF(Data!AA11&lt;=MEDIAN(Data!AA$4:AA$153),2,IF(Data!AA11&lt;=QUARTILE(Data!AA$4:AA$153,3),3,4)))</f>
        <v>1</v>
      </c>
      <c r="AB11" s="8">
        <f>IF(Data!AB11&lt;=QUARTILE(Data!AB$4:AB$153,1),1,IF(Data!AB11&lt;=MEDIAN(Data!AB$4:AB$153),2,IF(Data!AB11&lt;=QUARTILE(Data!AB$4:AB$153,3),3,4)))</f>
        <v>2</v>
      </c>
      <c r="AC11" s="8">
        <f>IF(Data!AC11&lt;=QUARTILE(Data!AC$4:AC$153,1),1,IF(Data!AC11&lt;=MEDIAN(Data!AC$4:AC$153),2,IF(Data!AC11&lt;=QUARTILE(Data!AC$4:AC$153,3),3,4)))</f>
        <v>2</v>
      </c>
      <c r="AD11" s="8">
        <f>IF(Data!AD11&lt;=QUARTILE(Data!AD$4:AD$153,1),1,IF(Data!AD11&lt;=MEDIAN(Data!AD$4:AD$153),2,IF(Data!AD11&lt;=QUARTILE(Data!AD$4:AD$153,3),3,4)))</f>
        <v>1</v>
      </c>
      <c r="AE11" s="8">
        <f>IF(Data!AE11&lt;=QUARTILE(Data!AE$4:AE$153,1),1,IF(Data!AE11&lt;=MEDIAN(Data!AE$4:AE$153),2,IF(Data!AE11&lt;=QUARTILE(Data!AE$4:AE$153,3),3,4)))</f>
        <v>1</v>
      </c>
      <c r="AF11" s="8">
        <f>IF(Data!AF11&lt;=QUARTILE(Data!AF$4:AF$153,1),1,IF(Data!AF11&lt;=MEDIAN(Data!AF$4:AF$153),2,IF(Data!AF11&lt;=QUARTILE(Data!AF$4:AF$153,3),3,4)))</f>
        <v>1</v>
      </c>
      <c r="AG11" s="8">
        <f>IF(Data!AG11&lt;=QUARTILE(Data!AG$4:AG$153,1),1,IF(Data!AG11&lt;=MEDIAN(Data!AG$4:AG$153),2,IF(Data!AG11&lt;=QUARTILE(Data!AG$4:AG$153,3),3,4)))</f>
        <v>1</v>
      </c>
      <c r="AH11" s="9">
        <f>IF(Data!AH11&lt;=QUARTILE(Data!AH$4:AH$153,1),1,IF(Data!AH11&lt;=MEDIAN(Data!AH$4:AH$153),2,IF(Data!AH11&lt;=QUARTILE(Data!AH$4:AH$153,3),3,4)))</f>
        <v>1</v>
      </c>
    </row>
    <row r="12" spans="1:34" x14ac:dyDescent="0.25">
      <c r="A12" s="7" t="s">
        <v>17</v>
      </c>
      <c r="B12" s="14" t="s">
        <v>52</v>
      </c>
      <c r="C12" s="7">
        <v>29</v>
      </c>
      <c r="D12" s="8">
        <v>53</v>
      </c>
      <c r="E12" s="42" t="s">
        <v>59</v>
      </c>
      <c r="F12" s="9">
        <v>-3.8</v>
      </c>
      <c r="G12" s="7">
        <f>IF(Data!G12&lt;=QUARTILE(Data!G$4:G$153,1),1,IF(Data!G12&lt;=MEDIAN(Data!G$4:G$153),2,IF(Data!G12&lt;=QUARTILE(Data!G$4:G$153,3),3,4)))</f>
        <v>4</v>
      </c>
      <c r="H12" s="8">
        <f>IF(Data!H12&lt;=QUARTILE(Data!H$4:H$153,1),1,IF(Data!H12&lt;=MEDIAN(Data!H$4:H$153),2,IF(Data!H12&lt;=QUARTILE(Data!H$4:H$153,3),3,4)))</f>
        <v>4</v>
      </c>
      <c r="I12" s="8">
        <f>IF(Data!I12&lt;=QUARTILE(Data!I$4:I$153,1),1,IF(Data!I12&lt;=MEDIAN(Data!I$4:I$153),2,IF(Data!I12&lt;=QUARTILE(Data!I$4:I$153,3),3,4)))</f>
        <v>3</v>
      </c>
      <c r="J12" s="8">
        <f>IF(Data!J12&lt;=QUARTILE(Data!J$4:J$153,1),1,IF(Data!J12&lt;=MEDIAN(Data!J$4:J$153),2,IF(Data!J12&lt;=QUARTILE(Data!J$4:J$153,3),3,4)))</f>
        <v>3</v>
      </c>
      <c r="K12" s="8">
        <f>IF(Data!K12&lt;=QUARTILE(Data!K$4:K$153,1),1,IF(Data!K12&lt;=MEDIAN(Data!K$4:K$153),2,IF(Data!K12&lt;=QUARTILE(Data!K$4:K$153,3),3,4)))</f>
        <v>4</v>
      </c>
      <c r="L12" s="8">
        <f>IF(Data!L12&lt;=QUARTILE(Data!L$4:L$153,1),1,IF(Data!L12&lt;=MEDIAN(Data!L$4:L$153),2,IF(Data!L12&lt;=QUARTILE(Data!L$4:L$153,3),3,4)))</f>
        <v>4</v>
      </c>
      <c r="M12" s="8">
        <f>IF(Data!M12&lt;=QUARTILE(Data!M$4:M$153,1),1,IF(Data!M12&lt;=MEDIAN(Data!M$4:M$153),2,IF(Data!M12&lt;=QUARTILE(Data!M$4:M$153,3),3,4)))</f>
        <v>3</v>
      </c>
      <c r="N12" s="8">
        <f>IF(Data!N12&lt;=QUARTILE(Data!N$4:N$153,1),1,IF(Data!N12&lt;=MEDIAN(Data!N$4:N$153),2,IF(Data!N12&lt;=QUARTILE(Data!N$4:N$153,3),3,4)))</f>
        <v>3</v>
      </c>
      <c r="O12" s="8">
        <f>IF(Data!O12&lt;=QUARTILE(Data!O$4:O$153,1),1,IF(Data!O12&lt;=MEDIAN(Data!O$4:O$153),2,IF(Data!O12&lt;=QUARTILE(Data!O$4:O$153,3),3,4)))</f>
        <v>2</v>
      </c>
      <c r="P12" s="8">
        <f>IF(Data!P12&lt;=QUARTILE(Data!P$4:P$153,1),1,IF(Data!P12&lt;=MEDIAN(Data!P$4:P$153),2,IF(Data!P12&lt;=QUARTILE(Data!P$4:P$153,3),3,4)))</f>
        <v>4</v>
      </c>
      <c r="Q12" s="8">
        <f>IF(Data!Q12&lt;=QUARTILE(Data!Q$4:Q$153,1),1,IF(Data!Q12&lt;=MEDIAN(Data!Q$4:Q$153),2,IF(Data!Q12&lt;=QUARTILE(Data!Q$4:Q$153,3),3,4)))</f>
        <v>4</v>
      </c>
      <c r="R12" s="8">
        <f>IF(Data!R12&lt;=QUARTILE(Data!R$4:R$153,1),1,IF(Data!R12&lt;=MEDIAN(Data!R$4:R$153),2,IF(Data!R12&lt;=QUARTILE(Data!R$4:R$153,3),3,4)))</f>
        <v>3</v>
      </c>
      <c r="S12" s="8">
        <f>IF(Data!S12&lt;=QUARTILE(Data!S$4:S$153,1),1,IF(Data!S12&lt;=MEDIAN(Data!S$4:S$153),2,IF(Data!S12&lt;=QUARTILE(Data!S$4:S$153,3),3,4)))</f>
        <v>3</v>
      </c>
      <c r="T12" s="9">
        <f>IF(Data!T12&lt;=QUARTILE(Data!T$4:T$153,1),1,IF(Data!T12&lt;=MEDIAN(Data!T$4:T$153),2,IF(Data!T12&lt;=QUARTILE(Data!T$4:T$153,3),3,4)))</f>
        <v>4</v>
      </c>
      <c r="U12" s="7">
        <f>IF(Data!U12&lt;=QUARTILE(Data!U$4:U$153,1),1,IF(Data!U12&lt;=MEDIAN(Data!U$4:U$153),2,IF(Data!U12&lt;=QUARTILE(Data!U$4:U$153,3),3,4)))</f>
        <v>4</v>
      </c>
      <c r="V12" s="8">
        <f>IF(Data!V12&lt;=QUARTILE(Data!V$4:V$153,1),1,IF(Data!V12&lt;=MEDIAN(Data!V$4:V$153),2,IF(Data!V12&lt;=QUARTILE(Data!V$4:V$153,3),3,4)))</f>
        <v>4</v>
      </c>
      <c r="W12" s="8">
        <f>IF(Data!W12&lt;=QUARTILE(Data!W$4:W$153,1),1,IF(Data!W12&lt;=MEDIAN(Data!W$4:W$153),2,IF(Data!W12&lt;=QUARTILE(Data!W$4:W$153,3),3,4)))</f>
        <v>4</v>
      </c>
      <c r="X12" s="8">
        <f>IF(Data!X12&lt;=QUARTILE(Data!X$4:X$153,1),1,IF(Data!X12&lt;=MEDIAN(Data!X$4:X$153),2,IF(Data!X12&lt;=QUARTILE(Data!X$4:X$153,3),3,4)))</f>
        <v>4</v>
      </c>
      <c r="Y12" s="8">
        <f>IF(Data!Y12&lt;=QUARTILE(Data!Y$4:Y$153,1),1,IF(Data!Y12&lt;=MEDIAN(Data!Y$4:Y$153),2,IF(Data!Y12&lt;=QUARTILE(Data!Y$4:Y$153,3),3,4)))</f>
        <v>4</v>
      </c>
      <c r="Z12" s="8">
        <f>IF(Data!Z12&lt;=QUARTILE(Data!Z$4:Z$153,1),1,IF(Data!Z12&lt;=MEDIAN(Data!Z$4:Z$153),2,IF(Data!Z12&lt;=QUARTILE(Data!Z$4:Z$153,3),3,4)))</f>
        <v>4</v>
      </c>
      <c r="AA12" s="8">
        <f>IF(Data!AA12&lt;=QUARTILE(Data!AA$4:AA$153,1),1,IF(Data!AA12&lt;=MEDIAN(Data!AA$4:AA$153),2,IF(Data!AA12&lt;=QUARTILE(Data!AA$4:AA$153,3),3,4)))</f>
        <v>4</v>
      </c>
      <c r="AB12" s="8">
        <f>IF(Data!AB12&lt;=QUARTILE(Data!AB$4:AB$153,1),1,IF(Data!AB12&lt;=MEDIAN(Data!AB$4:AB$153),2,IF(Data!AB12&lt;=QUARTILE(Data!AB$4:AB$153,3),3,4)))</f>
        <v>4</v>
      </c>
      <c r="AC12" s="8">
        <f>IF(Data!AC12&lt;=QUARTILE(Data!AC$4:AC$153,1),1,IF(Data!AC12&lt;=MEDIAN(Data!AC$4:AC$153),2,IF(Data!AC12&lt;=QUARTILE(Data!AC$4:AC$153,3),3,4)))</f>
        <v>4</v>
      </c>
      <c r="AD12" s="8">
        <f>IF(Data!AD12&lt;=QUARTILE(Data!AD$4:AD$153,1),1,IF(Data!AD12&lt;=MEDIAN(Data!AD$4:AD$153),2,IF(Data!AD12&lt;=QUARTILE(Data!AD$4:AD$153,3),3,4)))</f>
        <v>4</v>
      </c>
      <c r="AE12" s="8">
        <f>IF(Data!AE12&lt;=QUARTILE(Data!AE$4:AE$153,1),1,IF(Data!AE12&lt;=MEDIAN(Data!AE$4:AE$153),2,IF(Data!AE12&lt;=QUARTILE(Data!AE$4:AE$153,3),3,4)))</f>
        <v>3</v>
      </c>
      <c r="AF12" s="8">
        <f>IF(Data!AF12&lt;=QUARTILE(Data!AF$4:AF$153,1),1,IF(Data!AF12&lt;=MEDIAN(Data!AF$4:AF$153),2,IF(Data!AF12&lt;=QUARTILE(Data!AF$4:AF$153,3),3,4)))</f>
        <v>3</v>
      </c>
      <c r="AG12" s="8">
        <f>IF(Data!AG12&lt;=QUARTILE(Data!AG$4:AG$153,1),1,IF(Data!AG12&lt;=MEDIAN(Data!AG$4:AG$153),2,IF(Data!AG12&lt;=QUARTILE(Data!AG$4:AG$153,3),3,4)))</f>
        <v>4</v>
      </c>
      <c r="AH12" s="9">
        <f>IF(Data!AH12&lt;=QUARTILE(Data!AH$4:AH$153,1),1,IF(Data!AH12&lt;=MEDIAN(Data!AH$4:AH$153),2,IF(Data!AH12&lt;=QUARTILE(Data!AH$4:AH$153,3),3,4)))</f>
        <v>4</v>
      </c>
    </row>
    <row r="13" spans="1:34" x14ac:dyDescent="0.25">
      <c r="A13" s="7" t="s">
        <v>65</v>
      </c>
      <c r="B13" s="14" t="s">
        <v>52</v>
      </c>
      <c r="C13" s="7">
        <v>53</v>
      </c>
      <c r="D13" s="8">
        <v>29</v>
      </c>
      <c r="E13" s="42" t="s">
        <v>58</v>
      </c>
      <c r="F13" s="9">
        <v>3.73</v>
      </c>
      <c r="G13" s="7">
        <f>IF(Data!G13&lt;=QUARTILE(Data!G$4:G$153,1),1,IF(Data!G13&lt;=MEDIAN(Data!G$4:G$153),2,IF(Data!G13&lt;=QUARTILE(Data!G$4:G$153,3),3,4)))</f>
        <v>2</v>
      </c>
      <c r="H13" s="8">
        <f>IF(Data!H13&lt;=QUARTILE(Data!H$4:H$153,1),1,IF(Data!H13&lt;=MEDIAN(Data!H$4:H$153),2,IF(Data!H13&lt;=QUARTILE(Data!H$4:H$153,3),3,4)))</f>
        <v>2</v>
      </c>
      <c r="I13" s="8">
        <f>IF(Data!I13&lt;=QUARTILE(Data!I$4:I$153,1),1,IF(Data!I13&lt;=MEDIAN(Data!I$4:I$153),2,IF(Data!I13&lt;=QUARTILE(Data!I$4:I$153,3),3,4)))</f>
        <v>4</v>
      </c>
      <c r="J13" s="8">
        <f>IF(Data!J13&lt;=QUARTILE(Data!J$4:J$153,1),1,IF(Data!J13&lt;=MEDIAN(Data!J$4:J$153),2,IF(Data!J13&lt;=QUARTILE(Data!J$4:J$153,3),3,4)))</f>
        <v>4</v>
      </c>
      <c r="K13" s="8">
        <f>IF(Data!K13&lt;=QUARTILE(Data!K$4:K$153,1),1,IF(Data!K13&lt;=MEDIAN(Data!K$4:K$153),2,IF(Data!K13&lt;=QUARTILE(Data!K$4:K$153,3),3,4)))</f>
        <v>2</v>
      </c>
      <c r="L13" s="8">
        <f>IF(Data!L13&lt;=QUARTILE(Data!L$4:L$153,1),1,IF(Data!L13&lt;=MEDIAN(Data!L$4:L$153),2,IF(Data!L13&lt;=QUARTILE(Data!L$4:L$153,3),3,4)))</f>
        <v>1</v>
      </c>
      <c r="M13" s="8">
        <f>IF(Data!M13&lt;=QUARTILE(Data!M$4:M$153,1),1,IF(Data!M13&lt;=MEDIAN(Data!M$4:M$153),2,IF(Data!M13&lt;=QUARTILE(Data!M$4:M$153,3),3,4)))</f>
        <v>1</v>
      </c>
      <c r="N13" s="8">
        <f>IF(Data!N13&lt;=QUARTILE(Data!N$4:N$153,1),1,IF(Data!N13&lt;=MEDIAN(Data!N$4:N$153),2,IF(Data!N13&lt;=QUARTILE(Data!N$4:N$153,3),3,4)))</f>
        <v>4</v>
      </c>
      <c r="O13" s="8">
        <f>IF(Data!O13&lt;=QUARTILE(Data!O$4:O$153,1),1,IF(Data!O13&lt;=MEDIAN(Data!O$4:O$153),2,IF(Data!O13&lt;=QUARTILE(Data!O$4:O$153,3),3,4)))</f>
        <v>2</v>
      </c>
      <c r="P13" s="8">
        <f>IF(Data!P13&lt;=QUARTILE(Data!P$4:P$153,1),1,IF(Data!P13&lt;=MEDIAN(Data!P$4:P$153),2,IF(Data!P13&lt;=QUARTILE(Data!P$4:P$153,3),3,4)))</f>
        <v>1</v>
      </c>
      <c r="Q13" s="8">
        <f>IF(Data!Q13&lt;=QUARTILE(Data!Q$4:Q$153,1),1,IF(Data!Q13&lt;=MEDIAN(Data!Q$4:Q$153),2,IF(Data!Q13&lt;=QUARTILE(Data!Q$4:Q$153,3),3,4)))</f>
        <v>2</v>
      </c>
      <c r="R13" s="8">
        <f>IF(Data!R13&lt;=QUARTILE(Data!R$4:R$153,1),1,IF(Data!R13&lt;=MEDIAN(Data!R$4:R$153),2,IF(Data!R13&lt;=QUARTILE(Data!R$4:R$153,3),3,4)))</f>
        <v>2</v>
      </c>
      <c r="S13" s="8">
        <f>IF(Data!S13&lt;=QUARTILE(Data!S$4:S$153,1),1,IF(Data!S13&lt;=MEDIAN(Data!S$4:S$153),2,IF(Data!S13&lt;=QUARTILE(Data!S$4:S$153,3),3,4)))</f>
        <v>1</v>
      </c>
      <c r="T13" s="9">
        <f>IF(Data!T13&lt;=QUARTILE(Data!T$4:T$153,1),1,IF(Data!T13&lt;=MEDIAN(Data!T$4:T$153),2,IF(Data!T13&lt;=QUARTILE(Data!T$4:T$153,3),3,4)))</f>
        <v>3</v>
      </c>
      <c r="U13" s="7">
        <f>IF(Data!U13&lt;=QUARTILE(Data!U$4:U$153,1),1,IF(Data!U13&lt;=MEDIAN(Data!U$4:U$153),2,IF(Data!U13&lt;=QUARTILE(Data!U$4:U$153,3),3,4)))</f>
        <v>2</v>
      </c>
      <c r="V13" s="8">
        <f>IF(Data!V13&lt;=QUARTILE(Data!V$4:V$153,1),1,IF(Data!V13&lt;=MEDIAN(Data!V$4:V$153),2,IF(Data!V13&lt;=QUARTILE(Data!V$4:V$153,3),3,4)))</f>
        <v>4</v>
      </c>
      <c r="W13" s="8">
        <f>IF(Data!W13&lt;=QUARTILE(Data!W$4:W$153,1),1,IF(Data!W13&lt;=MEDIAN(Data!W$4:W$153),2,IF(Data!W13&lt;=QUARTILE(Data!W$4:W$153,3),3,4)))</f>
        <v>2</v>
      </c>
      <c r="X13" s="8">
        <f>IF(Data!X13&lt;=QUARTILE(Data!X$4:X$153,1),1,IF(Data!X13&lt;=MEDIAN(Data!X$4:X$153),2,IF(Data!X13&lt;=QUARTILE(Data!X$4:X$153,3),3,4)))</f>
        <v>2</v>
      </c>
      <c r="Y13" s="8">
        <f>IF(Data!Y13&lt;=QUARTILE(Data!Y$4:Y$153,1),1,IF(Data!Y13&lt;=MEDIAN(Data!Y$4:Y$153),2,IF(Data!Y13&lt;=QUARTILE(Data!Y$4:Y$153,3),3,4)))</f>
        <v>1</v>
      </c>
      <c r="Z13" s="8">
        <f>IF(Data!Z13&lt;=QUARTILE(Data!Z$4:Z$153,1),1,IF(Data!Z13&lt;=MEDIAN(Data!Z$4:Z$153),2,IF(Data!Z13&lt;=QUARTILE(Data!Z$4:Z$153,3),3,4)))</f>
        <v>1</v>
      </c>
      <c r="AA13" s="8">
        <f>IF(Data!AA13&lt;=QUARTILE(Data!AA$4:AA$153,1),1,IF(Data!AA13&lt;=MEDIAN(Data!AA$4:AA$153),2,IF(Data!AA13&lt;=QUARTILE(Data!AA$4:AA$153,3),3,4)))</f>
        <v>2</v>
      </c>
      <c r="AB13" s="8">
        <f>IF(Data!AB13&lt;=QUARTILE(Data!AB$4:AB$153,1),1,IF(Data!AB13&lt;=MEDIAN(Data!AB$4:AB$153),2,IF(Data!AB13&lt;=QUARTILE(Data!AB$4:AB$153,3),3,4)))</f>
        <v>2</v>
      </c>
      <c r="AC13" s="8">
        <f>IF(Data!AC13&lt;=QUARTILE(Data!AC$4:AC$153,1),1,IF(Data!AC13&lt;=MEDIAN(Data!AC$4:AC$153),2,IF(Data!AC13&lt;=QUARTILE(Data!AC$4:AC$153,3),3,4)))</f>
        <v>1</v>
      </c>
      <c r="AD13" s="8">
        <f>IF(Data!AD13&lt;=QUARTILE(Data!AD$4:AD$153,1),1,IF(Data!AD13&lt;=MEDIAN(Data!AD$4:AD$153),2,IF(Data!AD13&lt;=QUARTILE(Data!AD$4:AD$153,3),3,4)))</f>
        <v>2</v>
      </c>
      <c r="AE13" s="8">
        <f>IF(Data!AE13&lt;=QUARTILE(Data!AE$4:AE$153,1),1,IF(Data!AE13&lt;=MEDIAN(Data!AE$4:AE$153),2,IF(Data!AE13&lt;=QUARTILE(Data!AE$4:AE$153,3),3,4)))</f>
        <v>4</v>
      </c>
      <c r="AF13" s="8">
        <f>IF(Data!AF13&lt;=QUARTILE(Data!AF$4:AF$153,1),1,IF(Data!AF13&lt;=MEDIAN(Data!AF$4:AF$153),2,IF(Data!AF13&lt;=QUARTILE(Data!AF$4:AF$153,3),3,4)))</f>
        <v>1</v>
      </c>
      <c r="AG13" s="8">
        <f>IF(Data!AG13&lt;=QUARTILE(Data!AG$4:AG$153,1),1,IF(Data!AG13&lt;=MEDIAN(Data!AG$4:AG$153),2,IF(Data!AG13&lt;=QUARTILE(Data!AG$4:AG$153,3),3,4)))</f>
        <v>1</v>
      </c>
      <c r="AH13" s="9">
        <f>IF(Data!AH13&lt;=QUARTILE(Data!AH$4:AH$153,1),1,IF(Data!AH13&lt;=MEDIAN(Data!AH$4:AH$153),2,IF(Data!AH13&lt;=QUARTILE(Data!AH$4:AH$153,3),3,4)))</f>
        <v>1</v>
      </c>
    </row>
    <row r="14" spans="1:34" x14ac:dyDescent="0.25">
      <c r="A14" s="7" t="s">
        <v>19</v>
      </c>
      <c r="B14" s="14" t="s">
        <v>52</v>
      </c>
      <c r="C14" s="7">
        <v>36</v>
      </c>
      <c r="D14" s="8">
        <v>46</v>
      </c>
      <c r="E14" s="42" t="s">
        <v>59</v>
      </c>
      <c r="F14" s="9">
        <v>-0.76</v>
      </c>
      <c r="G14" s="7">
        <f>IF(Data!G14&lt;=QUARTILE(Data!G$4:G$153,1),1,IF(Data!G14&lt;=MEDIAN(Data!G$4:G$153),2,IF(Data!G14&lt;=QUARTILE(Data!G$4:G$153,3),3,4)))</f>
        <v>4</v>
      </c>
      <c r="H14" s="8">
        <f>IF(Data!H14&lt;=QUARTILE(Data!H$4:H$153,1),1,IF(Data!H14&lt;=MEDIAN(Data!H$4:H$153),2,IF(Data!H14&lt;=QUARTILE(Data!H$4:H$153,3),3,4)))</f>
        <v>4</v>
      </c>
      <c r="I14" s="8">
        <f>IF(Data!I14&lt;=QUARTILE(Data!I$4:I$153,1),1,IF(Data!I14&lt;=MEDIAN(Data!I$4:I$153),2,IF(Data!I14&lt;=QUARTILE(Data!I$4:I$153,3),3,4)))</f>
        <v>4</v>
      </c>
      <c r="J14" s="8">
        <f>IF(Data!J14&lt;=QUARTILE(Data!J$4:J$153,1),1,IF(Data!J14&lt;=MEDIAN(Data!J$4:J$153),2,IF(Data!J14&lt;=QUARTILE(Data!J$4:J$153,3),3,4)))</f>
        <v>4</v>
      </c>
      <c r="K14" s="8">
        <f>IF(Data!K14&lt;=QUARTILE(Data!K$4:K$153,1),1,IF(Data!K14&lt;=MEDIAN(Data!K$4:K$153),2,IF(Data!K14&lt;=QUARTILE(Data!K$4:K$153,3),3,4)))</f>
        <v>2</v>
      </c>
      <c r="L14" s="8">
        <f>IF(Data!L14&lt;=QUARTILE(Data!L$4:L$153,1),1,IF(Data!L14&lt;=MEDIAN(Data!L$4:L$153),2,IF(Data!L14&lt;=QUARTILE(Data!L$4:L$153,3),3,4)))</f>
        <v>1</v>
      </c>
      <c r="M14" s="8">
        <f>IF(Data!M14&lt;=QUARTILE(Data!M$4:M$153,1),1,IF(Data!M14&lt;=MEDIAN(Data!M$4:M$153),2,IF(Data!M14&lt;=QUARTILE(Data!M$4:M$153,3),3,4)))</f>
        <v>3</v>
      </c>
      <c r="N14" s="8">
        <f>IF(Data!N14&lt;=QUARTILE(Data!N$4:N$153,1),1,IF(Data!N14&lt;=MEDIAN(Data!N$4:N$153),2,IF(Data!N14&lt;=QUARTILE(Data!N$4:N$153,3),3,4)))</f>
        <v>4</v>
      </c>
      <c r="O14" s="8">
        <f>IF(Data!O14&lt;=QUARTILE(Data!O$4:O$153,1),1,IF(Data!O14&lt;=MEDIAN(Data!O$4:O$153),2,IF(Data!O14&lt;=QUARTILE(Data!O$4:O$153,3),3,4)))</f>
        <v>3</v>
      </c>
      <c r="P14" s="8">
        <f>IF(Data!P14&lt;=QUARTILE(Data!P$4:P$153,1),1,IF(Data!P14&lt;=MEDIAN(Data!P$4:P$153),2,IF(Data!P14&lt;=QUARTILE(Data!P$4:P$153,3),3,4)))</f>
        <v>2</v>
      </c>
      <c r="Q14" s="8">
        <f>IF(Data!Q14&lt;=QUARTILE(Data!Q$4:Q$153,1),1,IF(Data!Q14&lt;=MEDIAN(Data!Q$4:Q$153),2,IF(Data!Q14&lt;=QUARTILE(Data!Q$4:Q$153,3),3,4)))</f>
        <v>3</v>
      </c>
      <c r="R14" s="8">
        <f>IF(Data!R14&lt;=QUARTILE(Data!R$4:R$153,1),1,IF(Data!R14&lt;=MEDIAN(Data!R$4:R$153),2,IF(Data!R14&lt;=QUARTILE(Data!R$4:R$153,3),3,4)))</f>
        <v>3</v>
      </c>
      <c r="S14" s="8">
        <f>IF(Data!S14&lt;=QUARTILE(Data!S$4:S$153,1),1,IF(Data!S14&lt;=MEDIAN(Data!S$4:S$153),2,IF(Data!S14&lt;=QUARTILE(Data!S$4:S$153,3),3,4)))</f>
        <v>4</v>
      </c>
      <c r="T14" s="9">
        <f>IF(Data!T14&lt;=QUARTILE(Data!T$4:T$153,1),1,IF(Data!T14&lt;=MEDIAN(Data!T$4:T$153),2,IF(Data!T14&lt;=QUARTILE(Data!T$4:T$153,3),3,4)))</f>
        <v>4</v>
      </c>
      <c r="U14" s="7">
        <f>IF(Data!U14&lt;=QUARTILE(Data!U$4:U$153,1),1,IF(Data!U14&lt;=MEDIAN(Data!U$4:U$153),2,IF(Data!U14&lt;=QUARTILE(Data!U$4:U$153,3),3,4)))</f>
        <v>4</v>
      </c>
      <c r="V14" s="8">
        <f>IF(Data!V14&lt;=QUARTILE(Data!V$4:V$153,1),1,IF(Data!V14&lt;=MEDIAN(Data!V$4:V$153),2,IF(Data!V14&lt;=QUARTILE(Data!V$4:V$153,3),3,4)))</f>
        <v>4</v>
      </c>
      <c r="W14" s="8">
        <f>IF(Data!W14&lt;=QUARTILE(Data!W$4:W$153,1),1,IF(Data!W14&lt;=MEDIAN(Data!W$4:W$153),2,IF(Data!W14&lt;=QUARTILE(Data!W$4:W$153,3),3,4)))</f>
        <v>4</v>
      </c>
      <c r="X14" s="8">
        <f>IF(Data!X14&lt;=QUARTILE(Data!X$4:X$153,1),1,IF(Data!X14&lt;=MEDIAN(Data!X$4:X$153),2,IF(Data!X14&lt;=QUARTILE(Data!X$4:X$153,3),3,4)))</f>
        <v>4</v>
      </c>
      <c r="Y14" s="8">
        <f>IF(Data!Y14&lt;=QUARTILE(Data!Y$4:Y$153,1),1,IF(Data!Y14&lt;=MEDIAN(Data!Y$4:Y$153),2,IF(Data!Y14&lt;=QUARTILE(Data!Y$4:Y$153,3),3,4)))</f>
        <v>4</v>
      </c>
      <c r="Z14" s="8">
        <f>IF(Data!Z14&lt;=QUARTILE(Data!Z$4:Z$153,1),1,IF(Data!Z14&lt;=MEDIAN(Data!Z$4:Z$153),2,IF(Data!Z14&lt;=QUARTILE(Data!Z$4:Z$153,3),3,4)))</f>
        <v>4</v>
      </c>
      <c r="AA14" s="8">
        <f>IF(Data!AA14&lt;=QUARTILE(Data!AA$4:AA$153,1),1,IF(Data!AA14&lt;=MEDIAN(Data!AA$4:AA$153),2,IF(Data!AA14&lt;=QUARTILE(Data!AA$4:AA$153,3),3,4)))</f>
        <v>2</v>
      </c>
      <c r="AB14" s="8">
        <f>IF(Data!AB14&lt;=QUARTILE(Data!AB$4:AB$153,1),1,IF(Data!AB14&lt;=MEDIAN(Data!AB$4:AB$153),2,IF(Data!AB14&lt;=QUARTILE(Data!AB$4:AB$153,3),3,4)))</f>
        <v>4</v>
      </c>
      <c r="AC14" s="8">
        <f>IF(Data!AC14&lt;=QUARTILE(Data!AC$4:AC$153,1),1,IF(Data!AC14&lt;=MEDIAN(Data!AC$4:AC$153),2,IF(Data!AC14&lt;=QUARTILE(Data!AC$4:AC$153,3),3,4)))</f>
        <v>2</v>
      </c>
      <c r="AD14" s="8">
        <f>IF(Data!AD14&lt;=QUARTILE(Data!AD$4:AD$153,1),1,IF(Data!AD14&lt;=MEDIAN(Data!AD$4:AD$153),2,IF(Data!AD14&lt;=QUARTILE(Data!AD$4:AD$153,3),3,4)))</f>
        <v>4</v>
      </c>
      <c r="AE14" s="8">
        <f>IF(Data!AE14&lt;=QUARTILE(Data!AE$4:AE$153,1),1,IF(Data!AE14&lt;=MEDIAN(Data!AE$4:AE$153),2,IF(Data!AE14&lt;=QUARTILE(Data!AE$4:AE$153,3),3,4)))</f>
        <v>4</v>
      </c>
      <c r="AF14" s="8">
        <f>IF(Data!AF14&lt;=QUARTILE(Data!AF$4:AF$153,1),1,IF(Data!AF14&lt;=MEDIAN(Data!AF$4:AF$153),2,IF(Data!AF14&lt;=QUARTILE(Data!AF$4:AF$153,3),3,4)))</f>
        <v>2</v>
      </c>
      <c r="AG14" s="8">
        <f>IF(Data!AG14&lt;=QUARTILE(Data!AG$4:AG$153,1),1,IF(Data!AG14&lt;=MEDIAN(Data!AG$4:AG$153),2,IF(Data!AG14&lt;=QUARTILE(Data!AG$4:AG$153,3),3,4)))</f>
        <v>1</v>
      </c>
      <c r="AH14" s="9">
        <f>IF(Data!AH14&lt;=QUARTILE(Data!AH$4:AH$153,1),1,IF(Data!AH14&lt;=MEDIAN(Data!AH$4:AH$153),2,IF(Data!AH14&lt;=QUARTILE(Data!AH$4:AH$153,3),3,4)))</f>
        <v>4</v>
      </c>
    </row>
    <row r="15" spans="1:34" x14ac:dyDescent="0.25">
      <c r="A15" s="7" t="s">
        <v>27</v>
      </c>
      <c r="B15" s="14" t="s">
        <v>52</v>
      </c>
      <c r="C15" s="7">
        <v>19</v>
      </c>
      <c r="D15" s="8">
        <v>63</v>
      </c>
      <c r="E15" s="42" t="s">
        <v>59</v>
      </c>
      <c r="F15" s="9">
        <v>-8.4600000000000009</v>
      </c>
      <c r="G15" s="7">
        <f>IF(Data!G15&lt;=QUARTILE(Data!G$4:G$153,1),1,IF(Data!G15&lt;=MEDIAN(Data!G$4:G$153),2,IF(Data!G15&lt;=QUARTILE(Data!G$4:G$153,3),3,4)))</f>
        <v>2</v>
      </c>
      <c r="H15" s="8">
        <f>IF(Data!H15&lt;=QUARTILE(Data!H$4:H$153,1),1,IF(Data!H15&lt;=MEDIAN(Data!H$4:H$153),2,IF(Data!H15&lt;=QUARTILE(Data!H$4:H$153,3),3,4)))</f>
        <v>3</v>
      </c>
      <c r="I15" s="8">
        <f>IF(Data!I15&lt;=QUARTILE(Data!I$4:I$153,1),1,IF(Data!I15&lt;=MEDIAN(Data!I$4:I$153),2,IF(Data!I15&lt;=QUARTILE(Data!I$4:I$153,3),3,4)))</f>
        <v>3</v>
      </c>
      <c r="J15" s="8">
        <f>IF(Data!J15&lt;=QUARTILE(Data!J$4:J$153,1),1,IF(Data!J15&lt;=MEDIAN(Data!J$4:J$153),2,IF(Data!J15&lt;=QUARTILE(Data!J$4:J$153,3),3,4)))</f>
        <v>3</v>
      </c>
      <c r="K15" s="8">
        <f>IF(Data!K15&lt;=QUARTILE(Data!K$4:K$153,1),1,IF(Data!K15&lt;=MEDIAN(Data!K$4:K$153),2,IF(Data!K15&lt;=QUARTILE(Data!K$4:K$153,3),3,4)))</f>
        <v>1</v>
      </c>
      <c r="L15" s="8">
        <f>IF(Data!L15&lt;=QUARTILE(Data!L$4:L$153,1),1,IF(Data!L15&lt;=MEDIAN(Data!L$4:L$153),2,IF(Data!L15&lt;=QUARTILE(Data!L$4:L$153,3),3,4)))</f>
        <v>1</v>
      </c>
      <c r="M15" s="8">
        <f>IF(Data!M15&lt;=QUARTILE(Data!M$4:M$153,1),1,IF(Data!M15&lt;=MEDIAN(Data!M$4:M$153),2,IF(Data!M15&lt;=QUARTILE(Data!M$4:M$153,3),3,4)))</f>
        <v>2</v>
      </c>
      <c r="N15" s="8">
        <f>IF(Data!N15&lt;=QUARTILE(Data!N$4:N$153,1),1,IF(Data!N15&lt;=MEDIAN(Data!N$4:N$153),2,IF(Data!N15&lt;=QUARTILE(Data!N$4:N$153,3),3,4)))</f>
        <v>1</v>
      </c>
      <c r="O15" s="8">
        <f>IF(Data!O15&lt;=QUARTILE(Data!O$4:O$153,1),1,IF(Data!O15&lt;=MEDIAN(Data!O$4:O$153),2,IF(Data!O15&lt;=QUARTILE(Data!O$4:O$153,3),3,4)))</f>
        <v>3</v>
      </c>
      <c r="P15" s="8">
        <f>IF(Data!P15&lt;=QUARTILE(Data!P$4:P$153,1),1,IF(Data!P15&lt;=MEDIAN(Data!P$4:P$153),2,IF(Data!P15&lt;=QUARTILE(Data!P$4:P$153,3),3,4)))</f>
        <v>2</v>
      </c>
      <c r="Q15" s="8">
        <f>IF(Data!Q15&lt;=QUARTILE(Data!Q$4:Q$153,1),1,IF(Data!Q15&lt;=MEDIAN(Data!Q$4:Q$153),2,IF(Data!Q15&lt;=QUARTILE(Data!Q$4:Q$153,3),3,4)))</f>
        <v>4</v>
      </c>
      <c r="R15" s="8">
        <f>IF(Data!R15&lt;=QUARTILE(Data!R$4:R$153,1),1,IF(Data!R15&lt;=MEDIAN(Data!R$4:R$153),2,IF(Data!R15&lt;=QUARTILE(Data!R$4:R$153,3),3,4)))</f>
        <v>3</v>
      </c>
      <c r="S15" s="8">
        <f>IF(Data!S15&lt;=QUARTILE(Data!S$4:S$153,1),1,IF(Data!S15&lt;=MEDIAN(Data!S$4:S$153),2,IF(Data!S15&lt;=QUARTILE(Data!S$4:S$153,3),3,4)))</f>
        <v>1</v>
      </c>
      <c r="T15" s="9">
        <f>IF(Data!T15&lt;=QUARTILE(Data!T$4:T$153,1),1,IF(Data!T15&lt;=MEDIAN(Data!T$4:T$153),2,IF(Data!T15&lt;=QUARTILE(Data!T$4:T$153,3),3,4)))</f>
        <v>1</v>
      </c>
      <c r="U15" s="7">
        <f>IF(Data!U15&lt;=QUARTILE(Data!U$4:U$153,1),1,IF(Data!U15&lt;=MEDIAN(Data!U$4:U$153),2,IF(Data!U15&lt;=QUARTILE(Data!U$4:U$153,3),3,4)))</f>
        <v>4</v>
      </c>
      <c r="V15" s="8">
        <f>IF(Data!V15&lt;=QUARTILE(Data!V$4:V$153,1),1,IF(Data!V15&lt;=MEDIAN(Data!V$4:V$153),2,IF(Data!V15&lt;=QUARTILE(Data!V$4:V$153,3),3,4)))</f>
        <v>4</v>
      </c>
      <c r="W15" s="8">
        <f>IF(Data!W15&lt;=QUARTILE(Data!W$4:W$153,1),1,IF(Data!W15&lt;=MEDIAN(Data!W$4:W$153),2,IF(Data!W15&lt;=QUARTILE(Data!W$4:W$153,3),3,4)))</f>
        <v>3</v>
      </c>
      <c r="X15" s="8">
        <f>IF(Data!X15&lt;=QUARTILE(Data!X$4:X$153,1),1,IF(Data!X15&lt;=MEDIAN(Data!X$4:X$153),2,IF(Data!X15&lt;=QUARTILE(Data!X$4:X$153,3),3,4)))</f>
        <v>3</v>
      </c>
      <c r="Y15" s="8">
        <f>IF(Data!Y15&lt;=QUARTILE(Data!Y$4:Y$153,1),1,IF(Data!Y15&lt;=MEDIAN(Data!Y$4:Y$153),2,IF(Data!Y15&lt;=QUARTILE(Data!Y$4:Y$153,3),3,4)))</f>
        <v>2</v>
      </c>
      <c r="Z15" s="8">
        <f>IF(Data!Z15&lt;=QUARTILE(Data!Z$4:Z$153,1),1,IF(Data!Z15&lt;=MEDIAN(Data!Z$4:Z$153),2,IF(Data!Z15&lt;=QUARTILE(Data!Z$4:Z$153,3),3,4)))</f>
        <v>2</v>
      </c>
      <c r="AA15" s="8">
        <f>IF(Data!AA15&lt;=QUARTILE(Data!AA$4:AA$153,1),1,IF(Data!AA15&lt;=MEDIAN(Data!AA$4:AA$153),2,IF(Data!AA15&lt;=QUARTILE(Data!AA$4:AA$153,3),3,4)))</f>
        <v>3</v>
      </c>
      <c r="AB15" s="8">
        <f>IF(Data!AB15&lt;=QUARTILE(Data!AB$4:AB$153,1),1,IF(Data!AB15&lt;=MEDIAN(Data!AB$4:AB$153),2,IF(Data!AB15&lt;=QUARTILE(Data!AB$4:AB$153,3),3,4)))</f>
        <v>4</v>
      </c>
      <c r="AC15" s="8">
        <f>IF(Data!AC15&lt;=QUARTILE(Data!AC$4:AC$153,1),1,IF(Data!AC15&lt;=MEDIAN(Data!AC$4:AC$153),2,IF(Data!AC15&lt;=QUARTILE(Data!AC$4:AC$153,3),3,4)))</f>
        <v>4</v>
      </c>
      <c r="AD15" s="8">
        <f>IF(Data!AD15&lt;=QUARTILE(Data!AD$4:AD$153,1),1,IF(Data!AD15&lt;=MEDIAN(Data!AD$4:AD$153),2,IF(Data!AD15&lt;=QUARTILE(Data!AD$4:AD$153,3),3,4)))</f>
        <v>4</v>
      </c>
      <c r="AE15" s="8">
        <f>IF(Data!AE15&lt;=QUARTILE(Data!AE$4:AE$153,1),1,IF(Data!AE15&lt;=MEDIAN(Data!AE$4:AE$153),2,IF(Data!AE15&lt;=QUARTILE(Data!AE$4:AE$153,3),3,4)))</f>
        <v>3</v>
      </c>
      <c r="AF15" s="8">
        <f>IF(Data!AF15&lt;=QUARTILE(Data!AF$4:AF$153,1),1,IF(Data!AF15&lt;=MEDIAN(Data!AF$4:AF$153),2,IF(Data!AF15&lt;=QUARTILE(Data!AF$4:AF$153,3),3,4)))</f>
        <v>1</v>
      </c>
      <c r="AG15" s="8">
        <f>IF(Data!AG15&lt;=QUARTILE(Data!AG$4:AG$153,1),1,IF(Data!AG15&lt;=MEDIAN(Data!AG$4:AG$153),2,IF(Data!AG15&lt;=QUARTILE(Data!AG$4:AG$153,3),3,4)))</f>
        <v>1</v>
      </c>
      <c r="AH15" s="9">
        <f>IF(Data!AH15&lt;=QUARTILE(Data!AH$4:AH$153,1),1,IF(Data!AH15&lt;=MEDIAN(Data!AH$4:AH$153),2,IF(Data!AH15&lt;=QUARTILE(Data!AH$4:AH$153,3),3,4)))</f>
        <v>4</v>
      </c>
    </row>
    <row r="16" spans="1:34" x14ac:dyDescent="0.25">
      <c r="A16" s="7" t="s">
        <v>70</v>
      </c>
      <c r="B16" s="14" t="s">
        <v>52</v>
      </c>
      <c r="C16" s="7">
        <v>65</v>
      </c>
      <c r="D16" s="8">
        <v>17</v>
      </c>
      <c r="E16" s="42" t="s">
        <v>58</v>
      </c>
      <c r="F16" s="9">
        <v>7.11</v>
      </c>
      <c r="G16" s="7">
        <f>IF(Data!G16&lt;=QUARTILE(Data!G$4:G$153,1),1,IF(Data!G16&lt;=MEDIAN(Data!G$4:G$153),2,IF(Data!G16&lt;=QUARTILE(Data!G$4:G$153,3),3,4)))</f>
        <v>4</v>
      </c>
      <c r="H16" s="8">
        <f>IF(Data!H16&lt;=QUARTILE(Data!H$4:H$153,1),1,IF(Data!H16&lt;=MEDIAN(Data!H$4:H$153),2,IF(Data!H16&lt;=QUARTILE(Data!H$4:H$153,3),3,4)))</f>
        <v>4</v>
      </c>
      <c r="I16" s="8">
        <f>IF(Data!I16&lt;=QUARTILE(Data!I$4:I$153,1),1,IF(Data!I16&lt;=MEDIAN(Data!I$4:I$153),2,IF(Data!I16&lt;=QUARTILE(Data!I$4:I$153,3),3,4)))</f>
        <v>3</v>
      </c>
      <c r="J16" s="8">
        <f>IF(Data!J16&lt;=QUARTILE(Data!J$4:J$153,1),1,IF(Data!J16&lt;=MEDIAN(Data!J$4:J$153),2,IF(Data!J16&lt;=QUARTILE(Data!J$4:J$153,3),3,4)))</f>
        <v>3</v>
      </c>
      <c r="K16" s="8">
        <f>IF(Data!K16&lt;=QUARTILE(Data!K$4:K$153,1),1,IF(Data!K16&lt;=MEDIAN(Data!K$4:K$153),2,IF(Data!K16&lt;=QUARTILE(Data!K$4:K$153,3),3,4)))</f>
        <v>3</v>
      </c>
      <c r="L16" s="8">
        <f>IF(Data!L16&lt;=QUARTILE(Data!L$4:L$153,1),1,IF(Data!L16&lt;=MEDIAN(Data!L$4:L$153),2,IF(Data!L16&lt;=QUARTILE(Data!L$4:L$153,3),3,4)))</f>
        <v>2</v>
      </c>
      <c r="M16" s="8">
        <f>IF(Data!M16&lt;=QUARTILE(Data!M$4:M$153,1),1,IF(Data!M16&lt;=MEDIAN(Data!M$4:M$153),2,IF(Data!M16&lt;=QUARTILE(Data!M$4:M$153,3),3,4)))</f>
        <v>4</v>
      </c>
      <c r="N16" s="8">
        <f>IF(Data!N16&lt;=QUARTILE(Data!N$4:N$153,1),1,IF(Data!N16&lt;=MEDIAN(Data!N$4:N$153),2,IF(Data!N16&lt;=QUARTILE(Data!N$4:N$153,3),3,4)))</f>
        <v>4</v>
      </c>
      <c r="O16" s="8">
        <f>IF(Data!O16&lt;=QUARTILE(Data!O$4:O$153,1),1,IF(Data!O16&lt;=MEDIAN(Data!O$4:O$153),2,IF(Data!O16&lt;=QUARTILE(Data!O$4:O$153,3),3,4)))</f>
        <v>4</v>
      </c>
      <c r="P16" s="8">
        <f>IF(Data!P16&lt;=QUARTILE(Data!P$4:P$153,1),1,IF(Data!P16&lt;=MEDIAN(Data!P$4:P$153),2,IF(Data!P16&lt;=QUARTILE(Data!P$4:P$153,3),3,4)))</f>
        <v>4</v>
      </c>
      <c r="Q16" s="8">
        <f>IF(Data!Q16&lt;=QUARTILE(Data!Q$4:Q$153,1),1,IF(Data!Q16&lt;=MEDIAN(Data!Q$4:Q$153),2,IF(Data!Q16&lt;=QUARTILE(Data!Q$4:Q$153,3),3,4)))</f>
        <v>3</v>
      </c>
      <c r="R16" s="8">
        <f>IF(Data!R16&lt;=QUARTILE(Data!R$4:R$153,1),1,IF(Data!R16&lt;=MEDIAN(Data!R$4:R$153),2,IF(Data!R16&lt;=QUARTILE(Data!R$4:R$153,3),3,4)))</f>
        <v>1</v>
      </c>
      <c r="S16" s="8">
        <f>IF(Data!S16&lt;=QUARTILE(Data!S$4:S$153,1),1,IF(Data!S16&lt;=MEDIAN(Data!S$4:S$153),2,IF(Data!S16&lt;=QUARTILE(Data!S$4:S$153,3),3,4)))</f>
        <v>2</v>
      </c>
      <c r="T16" s="9">
        <f>IF(Data!T16&lt;=QUARTILE(Data!T$4:T$153,1),1,IF(Data!T16&lt;=MEDIAN(Data!T$4:T$153),2,IF(Data!T16&lt;=QUARTILE(Data!T$4:T$153,3),3,4)))</f>
        <v>4</v>
      </c>
      <c r="U16" s="7">
        <f>IF(Data!U16&lt;=QUARTILE(Data!U$4:U$153,1),1,IF(Data!U16&lt;=MEDIAN(Data!U$4:U$153),2,IF(Data!U16&lt;=QUARTILE(Data!U$4:U$153,3),3,4)))</f>
        <v>3</v>
      </c>
      <c r="V16" s="8">
        <f>IF(Data!V16&lt;=QUARTILE(Data!V$4:V$153,1),1,IF(Data!V16&lt;=MEDIAN(Data!V$4:V$153),2,IF(Data!V16&lt;=QUARTILE(Data!V$4:V$153,3),3,4)))</f>
        <v>4</v>
      </c>
      <c r="W16" s="8">
        <f>IF(Data!W16&lt;=QUARTILE(Data!W$4:W$153,1),1,IF(Data!W16&lt;=MEDIAN(Data!W$4:W$153),2,IF(Data!W16&lt;=QUARTILE(Data!W$4:W$153,3),3,4)))</f>
        <v>4</v>
      </c>
      <c r="X16" s="8">
        <f>IF(Data!X16&lt;=QUARTILE(Data!X$4:X$153,1),1,IF(Data!X16&lt;=MEDIAN(Data!X$4:X$153),2,IF(Data!X16&lt;=QUARTILE(Data!X$4:X$153,3),3,4)))</f>
        <v>4</v>
      </c>
      <c r="Y16" s="8">
        <f>IF(Data!Y16&lt;=QUARTILE(Data!Y$4:Y$153,1),1,IF(Data!Y16&lt;=MEDIAN(Data!Y$4:Y$153),2,IF(Data!Y16&lt;=QUARTILE(Data!Y$4:Y$153,3),3,4)))</f>
        <v>1</v>
      </c>
      <c r="Z16" s="8">
        <f>IF(Data!Z16&lt;=QUARTILE(Data!Z$4:Z$153,1),1,IF(Data!Z16&lt;=MEDIAN(Data!Z$4:Z$153),2,IF(Data!Z16&lt;=QUARTILE(Data!Z$4:Z$153,3),3,4)))</f>
        <v>1</v>
      </c>
      <c r="AA16" s="8">
        <f>IF(Data!AA16&lt;=QUARTILE(Data!AA$4:AA$153,1),1,IF(Data!AA16&lt;=MEDIAN(Data!AA$4:AA$153),2,IF(Data!AA16&lt;=QUARTILE(Data!AA$4:AA$153,3),3,4)))</f>
        <v>3</v>
      </c>
      <c r="AB16" s="8">
        <f>IF(Data!AB16&lt;=QUARTILE(Data!AB$4:AB$153,1),1,IF(Data!AB16&lt;=MEDIAN(Data!AB$4:AB$153),2,IF(Data!AB16&lt;=QUARTILE(Data!AB$4:AB$153,3),3,4)))</f>
        <v>2</v>
      </c>
      <c r="AC16" s="8">
        <f>IF(Data!AC16&lt;=QUARTILE(Data!AC$4:AC$153,1),1,IF(Data!AC16&lt;=MEDIAN(Data!AC$4:AC$153),2,IF(Data!AC16&lt;=QUARTILE(Data!AC$4:AC$153,3),3,4)))</f>
        <v>4</v>
      </c>
      <c r="AD16" s="8">
        <f>IF(Data!AD16&lt;=QUARTILE(Data!AD$4:AD$153,1),1,IF(Data!AD16&lt;=MEDIAN(Data!AD$4:AD$153),2,IF(Data!AD16&lt;=QUARTILE(Data!AD$4:AD$153,3),3,4)))</f>
        <v>4</v>
      </c>
      <c r="AE16" s="8">
        <f>IF(Data!AE16&lt;=QUARTILE(Data!AE$4:AE$153,1),1,IF(Data!AE16&lt;=MEDIAN(Data!AE$4:AE$153),2,IF(Data!AE16&lt;=QUARTILE(Data!AE$4:AE$153,3),3,4)))</f>
        <v>2</v>
      </c>
      <c r="AF16" s="8">
        <f>IF(Data!AF16&lt;=QUARTILE(Data!AF$4:AF$153,1),1,IF(Data!AF16&lt;=MEDIAN(Data!AF$4:AF$153),2,IF(Data!AF16&lt;=QUARTILE(Data!AF$4:AF$153,3),3,4)))</f>
        <v>4</v>
      </c>
      <c r="AG16" s="8">
        <f>IF(Data!AG16&lt;=QUARTILE(Data!AG$4:AG$153,1),1,IF(Data!AG16&lt;=MEDIAN(Data!AG$4:AG$153),2,IF(Data!AG16&lt;=QUARTILE(Data!AG$4:AG$153,3),3,4)))</f>
        <v>3</v>
      </c>
      <c r="AH16" s="9">
        <f>IF(Data!AH16&lt;=QUARTILE(Data!AH$4:AH$153,1),1,IF(Data!AH16&lt;=MEDIAN(Data!AH$4:AH$153),2,IF(Data!AH16&lt;=QUARTILE(Data!AH$4:AH$153,3),3,4)))</f>
        <v>3</v>
      </c>
    </row>
    <row r="17" spans="1:34" x14ac:dyDescent="0.25">
      <c r="A17" s="7" t="s">
        <v>28</v>
      </c>
      <c r="B17" s="14" t="s">
        <v>52</v>
      </c>
      <c r="C17" s="7">
        <v>24</v>
      </c>
      <c r="D17" s="8">
        <v>58</v>
      </c>
      <c r="E17" s="42" t="s">
        <v>59</v>
      </c>
      <c r="F17" s="9">
        <v>-5.22</v>
      </c>
      <c r="G17" s="7">
        <f>IF(Data!G17&lt;=QUARTILE(Data!G$4:G$153,1),1,IF(Data!G17&lt;=MEDIAN(Data!G$4:G$153),2,IF(Data!G17&lt;=QUARTILE(Data!G$4:G$153,3),3,4)))</f>
        <v>1</v>
      </c>
      <c r="H17" s="8">
        <f>IF(Data!H17&lt;=QUARTILE(Data!H$4:H$153,1),1,IF(Data!H17&lt;=MEDIAN(Data!H$4:H$153),2,IF(Data!H17&lt;=QUARTILE(Data!H$4:H$153,3),3,4)))</f>
        <v>1</v>
      </c>
      <c r="I17" s="8">
        <f>IF(Data!I17&lt;=QUARTILE(Data!I$4:I$153,1),1,IF(Data!I17&lt;=MEDIAN(Data!I$4:I$153),2,IF(Data!I17&lt;=QUARTILE(Data!I$4:I$153,3),3,4)))</f>
        <v>1</v>
      </c>
      <c r="J17" s="8">
        <f>IF(Data!J17&lt;=QUARTILE(Data!J$4:J$153,1),1,IF(Data!J17&lt;=MEDIAN(Data!J$4:J$153),2,IF(Data!J17&lt;=QUARTILE(Data!J$4:J$153,3),3,4)))</f>
        <v>1</v>
      </c>
      <c r="K17" s="8">
        <f>IF(Data!K17&lt;=QUARTILE(Data!K$4:K$153,1),1,IF(Data!K17&lt;=MEDIAN(Data!K$4:K$153),2,IF(Data!K17&lt;=QUARTILE(Data!K$4:K$153,3),3,4)))</f>
        <v>2</v>
      </c>
      <c r="L17" s="8">
        <f>IF(Data!L17&lt;=QUARTILE(Data!L$4:L$153,1),1,IF(Data!L17&lt;=MEDIAN(Data!L$4:L$153),2,IF(Data!L17&lt;=QUARTILE(Data!L$4:L$153,3),3,4)))</f>
        <v>2</v>
      </c>
      <c r="M17" s="8">
        <f>IF(Data!M17&lt;=QUARTILE(Data!M$4:M$153,1),1,IF(Data!M17&lt;=MEDIAN(Data!M$4:M$153),2,IF(Data!M17&lt;=QUARTILE(Data!M$4:M$153,3),3,4)))</f>
        <v>1</v>
      </c>
      <c r="N17" s="8">
        <f>IF(Data!N17&lt;=QUARTILE(Data!N$4:N$153,1),1,IF(Data!N17&lt;=MEDIAN(Data!N$4:N$153),2,IF(Data!N17&lt;=QUARTILE(Data!N$4:N$153,3),3,4)))</f>
        <v>1</v>
      </c>
      <c r="O17" s="8">
        <f>IF(Data!O17&lt;=QUARTILE(Data!O$4:O$153,1),1,IF(Data!O17&lt;=MEDIAN(Data!O$4:O$153),2,IF(Data!O17&lt;=QUARTILE(Data!O$4:O$153,3),3,4)))</f>
        <v>1</v>
      </c>
      <c r="P17" s="8">
        <f>IF(Data!P17&lt;=QUARTILE(Data!P$4:P$153,1),1,IF(Data!P17&lt;=MEDIAN(Data!P$4:P$153),2,IF(Data!P17&lt;=QUARTILE(Data!P$4:P$153,3),3,4)))</f>
        <v>3</v>
      </c>
      <c r="Q17" s="8">
        <f>IF(Data!Q17&lt;=QUARTILE(Data!Q$4:Q$153,1),1,IF(Data!Q17&lt;=MEDIAN(Data!Q$4:Q$153),2,IF(Data!Q17&lt;=QUARTILE(Data!Q$4:Q$153,3),3,4)))</f>
        <v>2</v>
      </c>
      <c r="R17" s="8">
        <f>IF(Data!R17&lt;=QUARTILE(Data!R$4:R$153,1),1,IF(Data!R17&lt;=MEDIAN(Data!R$4:R$153),2,IF(Data!R17&lt;=QUARTILE(Data!R$4:R$153,3),3,4)))</f>
        <v>4</v>
      </c>
      <c r="S17" s="8">
        <f>IF(Data!S17&lt;=QUARTILE(Data!S$4:S$153,1),1,IF(Data!S17&lt;=MEDIAN(Data!S$4:S$153),2,IF(Data!S17&lt;=QUARTILE(Data!S$4:S$153,3),3,4)))</f>
        <v>2</v>
      </c>
      <c r="T17" s="9">
        <f>IF(Data!T17&lt;=QUARTILE(Data!T$4:T$153,1),1,IF(Data!T17&lt;=MEDIAN(Data!T$4:T$153),2,IF(Data!T17&lt;=QUARTILE(Data!T$4:T$153,3),3,4)))</f>
        <v>1</v>
      </c>
      <c r="U17" s="7">
        <f>IF(Data!U17&lt;=QUARTILE(Data!U$4:U$153,1),1,IF(Data!U17&lt;=MEDIAN(Data!U$4:U$153),2,IF(Data!U17&lt;=QUARTILE(Data!U$4:U$153,3),3,4)))</f>
        <v>3</v>
      </c>
      <c r="V17" s="8">
        <f>IF(Data!V17&lt;=QUARTILE(Data!V$4:V$153,1),1,IF(Data!V17&lt;=MEDIAN(Data!V$4:V$153),2,IF(Data!V17&lt;=QUARTILE(Data!V$4:V$153,3),3,4)))</f>
        <v>1</v>
      </c>
      <c r="W17" s="8">
        <f>IF(Data!W17&lt;=QUARTILE(Data!W$4:W$153,1),1,IF(Data!W17&lt;=MEDIAN(Data!W$4:W$153),2,IF(Data!W17&lt;=QUARTILE(Data!W$4:W$153,3),3,4)))</f>
        <v>3</v>
      </c>
      <c r="X17" s="8">
        <f>IF(Data!X17&lt;=QUARTILE(Data!X$4:X$153,1),1,IF(Data!X17&lt;=MEDIAN(Data!X$4:X$153),2,IF(Data!X17&lt;=QUARTILE(Data!X$4:X$153,3),3,4)))</f>
        <v>3</v>
      </c>
      <c r="Y17" s="8">
        <f>IF(Data!Y17&lt;=QUARTILE(Data!Y$4:Y$153,1),1,IF(Data!Y17&lt;=MEDIAN(Data!Y$4:Y$153),2,IF(Data!Y17&lt;=QUARTILE(Data!Y$4:Y$153,3),3,4)))</f>
        <v>2</v>
      </c>
      <c r="Z17" s="8">
        <f>IF(Data!Z17&lt;=QUARTILE(Data!Z$4:Z$153,1),1,IF(Data!Z17&lt;=MEDIAN(Data!Z$4:Z$153),2,IF(Data!Z17&lt;=QUARTILE(Data!Z$4:Z$153,3),3,4)))</f>
        <v>2</v>
      </c>
      <c r="AA17" s="8">
        <f>IF(Data!AA17&lt;=QUARTILE(Data!AA$4:AA$153,1),1,IF(Data!AA17&lt;=MEDIAN(Data!AA$4:AA$153),2,IF(Data!AA17&lt;=QUARTILE(Data!AA$4:AA$153,3),3,4)))</f>
        <v>1</v>
      </c>
      <c r="AB17" s="8">
        <f>IF(Data!AB17&lt;=QUARTILE(Data!AB$4:AB$153,1),1,IF(Data!AB17&lt;=MEDIAN(Data!AB$4:AB$153),2,IF(Data!AB17&lt;=QUARTILE(Data!AB$4:AB$153,3),3,4)))</f>
        <v>2</v>
      </c>
      <c r="AC17" s="8">
        <f>IF(Data!AC17&lt;=QUARTILE(Data!AC$4:AC$153,1),1,IF(Data!AC17&lt;=MEDIAN(Data!AC$4:AC$153),2,IF(Data!AC17&lt;=QUARTILE(Data!AC$4:AC$153,3),3,4)))</f>
        <v>2</v>
      </c>
      <c r="AD17" s="8">
        <f>IF(Data!AD17&lt;=QUARTILE(Data!AD$4:AD$153,1),1,IF(Data!AD17&lt;=MEDIAN(Data!AD$4:AD$153),2,IF(Data!AD17&lt;=QUARTILE(Data!AD$4:AD$153,3),3,4)))</f>
        <v>3</v>
      </c>
      <c r="AE17" s="8">
        <f>IF(Data!AE17&lt;=QUARTILE(Data!AE$4:AE$153,1),1,IF(Data!AE17&lt;=MEDIAN(Data!AE$4:AE$153),2,IF(Data!AE17&lt;=QUARTILE(Data!AE$4:AE$153,3),3,4)))</f>
        <v>4</v>
      </c>
      <c r="AF17" s="8">
        <f>IF(Data!AF17&lt;=QUARTILE(Data!AF$4:AF$153,1),1,IF(Data!AF17&lt;=MEDIAN(Data!AF$4:AF$153),2,IF(Data!AF17&lt;=QUARTILE(Data!AF$4:AF$153,3),3,4)))</f>
        <v>3</v>
      </c>
      <c r="AG17" s="8">
        <f>IF(Data!AG17&lt;=QUARTILE(Data!AG$4:AG$153,1),1,IF(Data!AG17&lt;=MEDIAN(Data!AG$4:AG$153),2,IF(Data!AG17&lt;=QUARTILE(Data!AG$4:AG$153,3),3,4)))</f>
        <v>2</v>
      </c>
      <c r="AH17" s="9">
        <f>IF(Data!AH17&lt;=QUARTILE(Data!AH$4:AH$153,1),1,IF(Data!AH17&lt;=MEDIAN(Data!AH$4:AH$153),2,IF(Data!AH17&lt;=QUARTILE(Data!AH$4:AH$153,3),3,4)))</f>
        <v>3</v>
      </c>
    </row>
    <row r="18" spans="1:34" x14ac:dyDescent="0.25">
      <c r="A18" s="7" t="s">
        <v>54</v>
      </c>
      <c r="B18" s="14" t="s">
        <v>52</v>
      </c>
      <c r="C18" s="7">
        <v>43</v>
      </c>
      <c r="D18" s="8">
        <v>39</v>
      </c>
      <c r="E18" s="42" t="s">
        <v>58</v>
      </c>
      <c r="F18" s="9">
        <v>0.49</v>
      </c>
      <c r="G18" s="7">
        <f>IF(Data!G18&lt;=QUARTILE(Data!G$4:G$153,1),1,IF(Data!G18&lt;=MEDIAN(Data!G$4:G$153),2,IF(Data!G18&lt;=QUARTILE(Data!G$4:G$153,3),3,4)))</f>
        <v>3</v>
      </c>
      <c r="H18" s="8">
        <f>IF(Data!H18&lt;=QUARTILE(Data!H$4:H$153,1),1,IF(Data!H18&lt;=MEDIAN(Data!H$4:H$153),2,IF(Data!H18&lt;=QUARTILE(Data!H$4:H$153,3),3,4)))</f>
        <v>3</v>
      </c>
      <c r="I18" s="8">
        <f>IF(Data!I18&lt;=QUARTILE(Data!I$4:I$153,1),1,IF(Data!I18&lt;=MEDIAN(Data!I$4:I$153),2,IF(Data!I18&lt;=QUARTILE(Data!I$4:I$153,3),3,4)))</f>
        <v>4</v>
      </c>
      <c r="J18" s="8">
        <f>IF(Data!J18&lt;=QUARTILE(Data!J$4:J$153,1),1,IF(Data!J18&lt;=MEDIAN(Data!J$4:J$153),2,IF(Data!J18&lt;=QUARTILE(Data!J$4:J$153,3),3,4)))</f>
        <v>4</v>
      </c>
      <c r="K18" s="8">
        <f>IF(Data!K18&lt;=QUARTILE(Data!K$4:K$153,1),1,IF(Data!K18&lt;=MEDIAN(Data!K$4:K$153),2,IF(Data!K18&lt;=QUARTILE(Data!K$4:K$153,3),3,4)))</f>
        <v>1</v>
      </c>
      <c r="L18" s="8">
        <f>IF(Data!L18&lt;=QUARTILE(Data!L$4:L$153,1),1,IF(Data!L18&lt;=MEDIAN(Data!L$4:L$153),2,IF(Data!L18&lt;=QUARTILE(Data!L$4:L$153,3),3,4)))</f>
        <v>1</v>
      </c>
      <c r="M18" s="8">
        <f>IF(Data!M18&lt;=QUARTILE(Data!M$4:M$153,1),1,IF(Data!M18&lt;=MEDIAN(Data!M$4:M$153),2,IF(Data!M18&lt;=QUARTILE(Data!M$4:M$153,3),3,4)))</f>
        <v>1</v>
      </c>
      <c r="N18" s="8">
        <f>IF(Data!N18&lt;=QUARTILE(Data!N$4:N$153,1),1,IF(Data!N18&lt;=MEDIAN(Data!N$4:N$153),2,IF(Data!N18&lt;=QUARTILE(Data!N$4:N$153,3),3,4)))</f>
        <v>2</v>
      </c>
      <c r="O18" s="8">
        <f>IF(Data!O18&lt;=QUARTILE(Data!O$4:O$153,1),1,IF(Data!O18&lt;=MEDIAN(Data!O$4:O$153),2,IF(Data!O18&lt;=QUARTILE(Data!O$4:O$153,3),3,4)))</f>
        <v>2</v>
      </c>
      <c r="P18" s="8">
        <f>IF(Data!P18&lt;=QUARTILE(Data!P$4:P$153,1),1,IF(Data!P18&lt;=MEDIAN(Data!P$4:P$153),2,IF(Data!P18&lt;=QUARTILE(Data!P$4:P$153,3),3,4)))</f>
        <v>4</v>
      </c>
      <c r="Q18" s="8">
        <f>IF(Data!Q18&lt;=QUARTILE(Data!Q$4:Q$153,1),1,IF(Data!Q18&lt;=MEDIAN(Data!Q$4:Q$153),2,IF(Data!Q18&lt;=QUARTILE(Data!Q$4:Q$153,3),3,4)))</f>
        <v>4</v>
      </c>
      <c r="R18" s="8">
        <f>IF(Data!R18&lt;=QUARTILE(Data!R$4:R$153,1),1,IF(Data!R18&lt;=MEDIAN(Data!R$4:R$153),2,IF(Data!R18&lt;=QUARTILE(Data!R$4:R$153,3),3,4)))</f>
        <v>1</v>
      </c>
      <c r="S18" s="8">
        <f>IF(Data!S18&lt;=QUARTILE(Data!S$4:S$153,1),1,IF(Data!S18&lt;=MEDIAN(Data!S$4:S$153),2,IF(Data!S18&lt;=QUARTILE(Data!S$4:S$153,3),3,4)))</f>
        <v>2</v>
      </c>
      <c r="T18" s="9">
        <f>IF(Data!T18&lt;=QUARTILE(Data!T$4:T$153,1),1,IF(Data!T18&lt;=MEDIAN(Data!T$4:T$153),2,IF(Data!T18&lt;=QUARTILE(Data!T$4:T$153,3),3,4)))</f>
        <v>3</v>
      </c>
      <c r="U18" s="7">
        <f>IF(Data!U18&lt;=QUARTILE(Data!U$4:U$153,1),1,IF(Data!U18&lt;=MEDIAN(Data!U$4:U$153),2,IF(Data!U18&lt;=QUARTILE(Data!U$4:U$153,3),3,4)))</f>
        <v>2</v>
      </c>
      <c r="V18" s="8">
        <f>IF(Data!V18&lt;=QUARTILE(Data!V$4:V$153,1),1,IF(Data!V18&lt;=MEDIAN(Data!V$4:V$153),2,IF(Data!V18&lt;=QUARTILE(Data!V$4:V$153,3),3,4)))</f>
        <v>1</v>
      </c>
      <c r="W18" s="8">
        <f>IF(Data!W18&lt;=QUARTILE(Data!W$4:W$153,1),1,IF(Data!W18&lt;=MEDIAN(Data!W$4:W$153),2,IF(Data!W18&lt;=QUARTILE(Data!W$4:W$153,3),3,4)))</f>
        <v>4</v>
      </c>
      <c r="X18" s="8">
        <f>IF(Data!X18&lt;=QUARTILE(Data!X$4:X$153,1),1,IF(Data!X18&lt;=MEDIAN(Data!X$4:X$153),2,IF(Data!X18&lt;=QUARTILE(Data!X$4:X$153,3),3,4)))</f>
        <v>4</v>
      </c>
      <c r="Y18" s="8">
        <f>IF(Data!Y18&lt;=QUARTILE(Data!Y$4:Y$153,1),1,IF(Data!Y18&lt;=MEDIAN(Data!Y$4:Y$153),2,IF(Data!Y18&lt;=QUARTILE(Data!Y$4:Y$153,3),3,4)))</f>
        <v>3</v>
      </c>
      <c r="Z18" s="8">
        <f>IF(Data!Z18&lt;=QUARTILE(Data!Z$4:Z$153,1),1,IF(Data!Z18&lt;=MEDIAN(Data!Z$4:Z$153),2,IF(Data!Z18&lt;=QUARTILE(Data!Z$4:Z$153,3),3,4)))</f>
        <v>2</v>
      </c>
      <c r="AA18" s="8">
        <f>IF(Data!AA18&lt;=QUARTILE(Data!AA$4:AA$153,1),1,IF(Data!AA18&lt;=MEDIAN(Data!AA$4:AA$153),2,IF(Data!AA18&lt;=QUARTILE(Data!AA$4:AA$153,3),3,4)))</f>
        <v>2</v>
      </c>
      <c r="AB18" s="8">
        <f>IF(Data!AB18&lt;=QUARTILE(Data!AB$4:AB$153,1),1,IF(Data!AB18&lt;=MEDIAN(Data!AB$4:AB$153),2,IF(Data!AB18&lt;=QUARTILE(Data!AB$4:AB$153,3),3,4)))</f>
        <v>3</v>
      </c>
      <c r="AC18" s="8">
        <f>IF(Data!AC18&lt;=QUARTILE(Data!AC$4:AC$153,1),1,IF(Data!AC18&lt;=MEDIAN(Data!AC$4:AC$153),2,IF(Data!AC18&lt;=QUARTILE(Data!AC$4:AC$153,3),3,4)))</f>
        <v>2</v>
      </c>
      <c r="AD18" s="8">
        <f>IF(Data!AD18&lt;=QUARTILE(Data!AD$4:AD$153,1),1,IF(Data!AD18&lt;=MEDIAN(Data!AD$4:AD$153),2,IF(Data!AD18&lt;=QUARTILE(Data!AD$4:AD$153,3),3,4)))</f>
        <v>1</v>
      </c>
      <c r="AE18" s="8">
        <f>IF(Data!AE18&lt;=QUARTILE(Data!AE$4:AE$153,1),1,IF(Data!AE18&lt;=MEDIAN(Data!AE$4:AE$153),2,IF(Data!AE18&lt;=QUARTILE(Data!AE$4:AE$153,3),3,4)))</f>
        <v>1</v>
      </c>
      <c r="AF18" s="8">
        <f>IF(Data!AF18&lt;=QUARTILE(Data!AF$4:AF$153,1),1,IF(Data!AF18&lt;=MEDIAN(Data!AF$4:AF$153),2,IF(Data!AF18&lt;=QUARTILE(Data!AF$4:AF$153,3),3,4)))</f>
        <v>3</v>
      </c>
      <c r="AG18" s="8">
        <f>IF(Data!AG18&lt;=QUARTILE(Data!AG$4:AG$153,1),1,IF(Data!AG18&lt;=MEDIAN(Data!AG$4:AG$153),2,IF(Data!AG18&lt;=QUARTILE(Data!AG$4:AG$153,3),3,4)))</f>
        <v>1</v>
      </c>
      <c r="AH18" s="9">
        <f>IF(Data!AH18&lt;=QUARTILE(Data!AH$4:AH$153,1),1,IF(Data!AH18&lt;=MEDIAN(Data!AH$4:AH$153),2,IF(Data!AH18&lt;=QUARTILE(Data!AH$4:AH$153,3),3,4)))</f>
        <v>2</v>
      </c>
    </row>
    <row r="19" spans="1:34" x14ac:dyDescent="0.25">
      <c r="A19" s="7" t="s">
        <v>21</v>
      </c>
      <c r="B19" s="14" t="s">
        <v>52</v>
      </c>
      <c r="C19" s="7">
        <v>34</v>
      </c>
      <c r="D19" s="8">
        <v>48</v>
      </c>
      <c r="E19" s="42" t="s">
        <v>59</v>
      </c>
      <c r="F19" s="9">
        <v>-0.87</v>
      </c>
      <c r="G19" s="7">
        <f>IF(Data!G19&lt;=QUARTILE(Data!G$4:G$153,1),1,IF(Data!G19&lt;=MEDIAN(Data!G$4:G$153),2,IF(Data!G19&lt;=QUARTILE(Data!G$4:G$153,3),3,4)))</f>
        <v>3</v>
      </c>
      <c r="H19" s="8">
        <f>IF(Data!H19&lt;=QUARTILE(Data!H$4:H$153,1),1,IF(Data!H19&lt;=MEDIAN(Data!H$4:H$153),2,IF(Data!H19&lt;=QUARTILE(Data!H$4:H$153,3),3,4)))</f>
        <v>4</v>
      </c>
      <c r="I19" s="8">
        <f>IF(Data!I19&lt;=QUARTILE(Data!I$4:I$153,1),1,IF(Data!I19&lt;=MEDIAN(Data!I$4:I$153),2,IF(Data!I19&lt;=QUARTILE(Data!I$4:I$153,3),3,4)))</f>
        <v>3</v>
      </c>
      <c r="J19" s="8">
        <f>IF(Data!J19&lt;=QUARTILE(Data!J$4:J$153,1),1,IF(Data!J19&lt;=MEDIAN(Data!J$4:J$153),2,IF(Data!J19&lt;=QUARTILE(Data!J$4:J$153,3),3,4)))</f>
        <v>2</v>
      </c>
      <c r="K19" s="8">
        <f>IF(Data!K19&lt;=QUARTILE(Data!K$4:K$153,1),1,IF(Data!K19&lt;=MEDIAN(Data!K$4:K$153),2,IF(Data!K19&lt;=QUARTILE(Data!K$4:K$153,3),3,4)))</f>
        <v>3</v>
      </c>
      <c r="L19" s="8">
        <f>IF(Data!L19&lt;=QUARTILE(Data!L$4:L$153,1),1,IF(Data!L19&lt;=MEDIAN(Data!L$4:L$153),2,IF(Data!L19&lt;=QUARTILE(Data!L$4:L$153,3),3,4)))</f>
        <v>2</v>
      </c>
      <c r="M19" s="8">
        <f>IF(Data!M19&lt;=QUARTILE(Data!M$4:M$153,1),1,IF(Data!M19&lt;=MEDIAN(Data!M$4:M$153),2,IF(Data!M19&lt;=QUARTILE(Data!M$4:M$153,3),3,4)))</f>
        <v>3</v>
      </c>
      <c r="N19" s="8">
        <f>IF(Data!N19&lt;=QUARTILE(Data!N$4:N$153,1),1,IF(Data!N19&lt;=MEDIAN(Data!N$4:N$153),2,IF(Data!N19&lt;=QUARTILE(Data!N$4:N$153,3),3,4)))</f>
        <v>1</v>
      </c>
      <c r="O19" s="8">
        <f>IF(Data!O19&lt;=QUARTILE(Data!O$4:O$153,1),1,IF(Data!O19&lt;=MEDIAN(Data!O$4:O$153),2,IF(Data!O19&lt;=QUARTILE(Data!O$4:O$153,3),3,4)))</f>
        <v>3</v>
      </c>
      <c r="P19" s="8">
        <f>IF(Data!P19&lt;=QUARTILE(Data!P$4:P$153,1),1,IF(Data!P19&lt;=MEDIAN(Data!P$4:P$153),2,IF(Data!P19&lt;=QUARTILE(Data!P$4:P$153,3),3,4)))</f>
        <v>3</v>
      </c>
      <c r="Q19" s="8">
        <f>IF(Data!Q19&lt;=QUARTILE(Data!Q$4:Q$153,1),1,IF(Data!Q19&lt;=MEDIAN(Data!Q$4:Q$153),2,IF(Data!Q19&lt;=QUARTILE(Data!Q$4:Q$153,3),3,4)))</f>
        <v>1</v>
      </c>
      <c r="R19" s="8">
        <f>IF(Data!R19&lt;=QUARTILE(Data!R$4:R$153,1),1,IF(Data!R19&lt;=MEDIAN(Data!R$4:R$153),2,IF(Data!R19&lt;=QUARTILE(Data!R$4:R$153,3),3,4)))</f>
        <v>2</v>
      </c>
      <c r="S19" s="8">
        <f>IF(Data!S19&lt;=QUARTILE(Data!S$4:S$153,1),1,IF(Data!S19&lt;=MEDIAN(Data!S$4:S$153),2,IF(Data!S19&lt;=QUARTILE(Data!S$4:S$153,3),3,4)))</f>
        <v>4</v>
      </c>
      <c r="T19" s="9">
        <f>IF(Data!T19&lt;=QUARTILE(Data!T$4:T$153,1),1,IF(Data!T19&lt;=MEDIAN(Data!T$4:T$153),2,IF(Data!T19&lt;=QUARTILE(Data!T$4:T$153,3),3,4)))</f>
        <v>3</v>
      </c>
      <c r="U19" s="7">
        <f>IF(Data!U19&lt;=QUARTILE(Data!U$4:U$153,1),1,IF(Data!U19&lt;=MEDIAN(Data!U$4:U$153),2,IF(Data!U19&lt;=QUARTILE(Data!U$4:U$153,3),3,4)))</f>
        <v>1</v>
      </c>
      <c r="V19" s="8">
        <f>IF(Data!V19&lt;=QUARTILE(Data!V$4:V$153,1),1,IF(Data!V19&lt;=MEDIAN(Data!V$4:V$153),2,IF(Data!V19&lt;=QUARTILE(Data!V$4:V$153,3),3,4)))</f>
        <v>1</v>
      </c>
      <c r="W19" s="8">
        <f>IF(Data!W19&lt;=QUARTILE(Data!W$4:W$153,1),1,IF(Data!W19&lt;=MEDIAN(Data!W$4:W$153),2,IF(Data!W19&lt;=QUARTILE(Data!W$4:W$153,3),3,4)))</f>
        <v>4</v>
      </c>
      <c r="X19" s="8">
        <f>IF(Data!X19&lt;=QUARTILE(Data!X$4:X$153,1),1,IF(Data!X19&lt;=MEDIAN(Data!X$4:X$153),2,IF(Data!X19&lt;=QUARTILE(Data!X$4:X$153,3),3,4)))</f>
        <v>3</v>
      </c>
      <c r="Y19" s="8">
        <f>IF(Data!Y19&lt;=QUARTILE(Data!Y$4:Y$153,1),1,IF(Data!Y19&lt;=MEDIAN(Data!Y$4:Y$153),2,IF(Data!Y19&lt;=QUARTILE(Data!Y$4:Y$153,3),3,4)))</f>
        <v>4</v>
      </c>
      <c r="Z19" s="8">
        <f>IF(Data!Z19&lt;=QUARTILE(Data!Z$4:Z$153,1),1,IF(Data!Z19&lt;=MEDIAN(Data!Z$4:Z$153),2,IF(Data!Z19&lt;=QUARTILE(Data!Z$4:Z$153,3),3,4)))</f>
        <v>4</v>
      </c>
      <c r="AA19" s="8">
        <f>IF(Data!AA19&lt;=QUARTILE(Data!AA$4:AA$153,1),1,IF(Data!AA19&lt;=MEDIAN(Data!AA$4:AA$153),2,IF(Data!AA19&lt;=QUARTILE(Data!AA$4:AA$153,3),3,4)))</f>
        <v>1</v>
      </c>
      <c r="AB19" s="8">
        <f>IF(Data!AB19&lt;=QUARTILE(Data!AB$4:AB$153,1),1,IF(Data!AB19&lt;=MEDIAN(Data!AB$4:AB$153),2,IF(Data!AB19&lt;=QUARTILE(Data!AB$4:AB$153,3),3,4)))</f>
        <v>3</v>
      </c>
      <c r="AC19" s="8">
        <f>IF(Data!AC19&lt;=QUARTILE(Data!AC$4:AC$153,1),1,IF(Data!AC19&lt;=MEDIAN(Data!AC$4:AC$153),2,IF(Data!AC19&lt;=QUARTILE(Data!AC$4:AC$153,3),3,4)))</f>
        <v>2</v>
      </c>
      <c r="AD19" s="8">
        <f>IF(Data!AD19&lt;=QUARTILE(Data!AD$4:AD$153,1),1,IF(Data!AD19&lt;=MEDIAN(Data!AD$4:AD$153),2,IF(Data!AD19&lt;=QUARTILE(Data!AD$4:AD$153,3),3,4)))</f>
        <v>3</v>
      </c>
      <c r="AE19" s="8">
        <f>IF(Data!AE19&lt;=QUARTILE(Data!AE$4:AE$153,1),1,IF(Data!AE19&lt;=MEDIAN(Data!AE$4:AE$153),2,IF(Data!AE19&lt;=QUARTILE(Data!AE$4:AE$153,3),3,4)))</f>
        <v>2</v>
      </c>
      <c r="AF19" s="8">
        <f>IF(Data!AF19&lt;=QUARTILE(Data!AF$4:AF$153,1),1,IF(Data!AF19&lt;=MEDIAN(Data!AF$4:AF$153),2,IF(Data!AF19&lt;=QUARTILE(Data!AF$4:AF$153,3),3,4)))</f>
        <v>4</v>
      </c>
      <c r="AG19" s="8">
        <f>IF(Data!AG19&lt;=QUARTILE(Data!AG$4:AG$153,1),1,IF(Data!AG19&lt;=MEDIAN(Data!AG$4:AG$153),2,IF(Data!AG19&lt;=QUARTILE(Data!AG$4:AG$153,3),3,4)))</f>
        <v>3</v>
      </c>
      <c r="AH19" s="9">
        <f>IF(Data!AH19&lt;=QUARTILE(Data!AH$4:AH$153,1),1,IF(Data!AH19&lt;=MEDIAN(Data!AH$4:AH$153),2,IF(Data!AH19&lt;=QUARTILE(Data!AH$4:AH$153,3),3,4)))</f>
        <v>3</v>
      </c>
    </row>
    <row r="20" spans="1:34" x14ac:dyDescent="0.25">
      <c r="A20" s="7" t="s">
        <v>24</v>
      </c>
      <c r="B20" s="14" t="s">
        <v>52</v>
      </c>
      <c r="C20" s="7">
        <v>24</v>
      </c>
      <c r="D20" s="8">
        <v>58</v>
      </c>
      <c r="E20" s="42" t="s">
        <v>59</v>
      </c>
      <c r="F20" s="9">
        <v>-4.74</v>
      </c>
      <c r="G20" s="7">
        <f>IF(Data!G20&lt;=QUARTILE(Data!G$4:G$153,1),1,IF(Data!G20&lt;=MEDIAN(Data!G$4:G$153),2,IF(Data!G20&lt;=QUARTILE(Data!G$4:G$153,3),3,4)))</f>
        <v>2</v>
      </c>
      <c r="H20" s="8">
        <f>IF(Data!H20&lt;=QUARTILE(Data!H$4:H$153,1),1,IF(Data!H20&lt;=MEDIAN(Data!H$4:H$153),2,IF(Data!H20&lt;=QUARTILE(Data!H$4:H$153,3),3,4)))</f>
        <v>4</v>
      </c>
      <c r="I20" s="8">
        <f>IF(Data!I20&lt;=QUARTILE(Data!I$4:I$153,1),1,IF(Data!I20&lt;=MEDIAN(Data!I$4:I$153),2,IF(Data!I20&lt;=QUARTILE(Data!I$4:I$153,3),3,4)))</f>
        <v>3</v>
      </c>
      <c r="J20" s="8">
        <f>IF(Data!J20&lt;=QUARTILE(Data!J$4:J$153,1),1,IF(Data!J20&lt;=MEDIAN(Data!J$4:J$153),2,IF(Data!J20&lt;=QUARTILE(Data!J$4:J$153,3),3,4)))</f>
        <v>3</v>
      </c>
      <c r="K20" s="8">
        <f>IF(Data!K20&lt;=QUARTILE(Data!K$4:K$153,1),1,IF(Data!K20&lt;=MEDIAN(Data!K$4:K$153),2,IF(Data!K20&lt;=QUARTILE(Data!K$4:K$153,3),3,4)))</f>
        <v>2</v>
      </c>
      <c r="L20" s="8">
        <f>IF(Data!L20&lt;=QUARTILE(Data!L$4:L$153,1),1,IF(Data!L20&lt;=MEDIAN(Data!L$4:L$153),2,IF(Data!L20&lt;=QUARTILE(Data!L$4:L$153,3),3,4)))</f>
        <v>1</v>
      </c>
      <c r="M20" s="8">
        <f>IF(Data!M20&lt;=QUARTILE(Data!M$4:M$153,1),1,IF(Data!M20&lt;=MEDIAN(Data!M$4:M$153),2,IF(Data!M20&lt;=QUARTILE(Data!M$4:M$153,3),3,4)))</f>
        <v>3</v>
      </c>
      <c r="N20" s="8">
        <f>IF(Data!N20&lt;=QUARTILE(Data!N$4:N$153,1),1,IF(Data!N20&lt;=MEDIAN(Data!N$4:N$153),2,IF(Data!N20&lt;=QUARTILE(Data!N$4:N$153,3),3,4)))</f>
        <v>2</v>
      </c>
      <c r="O20" s="8">
        <f>IF(Data!O20&lt;=QUARTILE(Data!O$4:O$153,1),1,IF(Data!O20&lt;=MEDIAN(Data!O$4:O$153),2,IF(Data!O20&lt;=QUARTILE(Data!O$4:O$153,3),3,4)))</f>
        <v>2</v>
      </c>
      <c r="P20" s="8">
        <f>IF(Data!P20&lt;=QUARTILE(Data!P$4:P$153,1),1,IF(Data!P20&lt;=MEDIAN(Data!P$4:P$153),2,IF(Data!P20&lt;=QUARTILE(Data!P$4:P$153,3),3,4)))</f>
        <v>1</v>
      </c>
      <c r="Q20" s="8">
        <f>IF(Data!Q20&lt;=QUARTILE(Data!Q$4:Q$153,1),1,IF(Data!Q20&lt;=MEDIAN(Data!Q$4:Q$153),2,IF(Data!Q20&lt;=QUARTILE(Data!Q$4:Q$153,3),3,4)))</f>
        <v>1</v>
      </c>
      <c r="R20" s="8">
        <f>IF(Data!R20&lt;=QUARTILE(Data!R$4:R$153,1),1,IF(Data!R20&lt;=MEDIAN(Data!R$4:R$153),2,IF(Data!R20&lt;=QUARTILE(Data!R$4:R$153,3),3,4)))</f>
        <v>2</v>
      </c>
      <c r="S20" s="8">
        <f>IF(Data!S20&lt;=QUARTILE(Data!S$4:S$153,1),1,IF(Data!S20&lt;=MEDIAN(Data!S$4:S$153),2,IF(Data!S20&lt;=QUARTILE(Data!S$4:S$153,3),3,4)))</f>
        <v>2</v>
      </c>
      <c r="T20" s="9">
        <f>IF(Data!T20&lt;=QUARTILE(Data!T$4:T$153,1),1,IF(Data!T20&lt;=MEDIAN(Data!T$4:T$153),2,IF(Data!T20&lt;=QUARTILE(Data!T$4:T$153,3),3,4)))</f>
        <v>2</v>
      </c>
      <c r="U20" s="7">
        <f>IF(Data!U20&lt;=QUARTILE(Data!U$4:U$153,1),1,IF(Data!U20&lt;=MEDIAN(Data!U$4:U$153),2,IF(Data!U20&lt;=QUARTILE(Data!U$4:U$153,3),3,4)))</f>
        <v>3</v>
      </c>
      <c r="V20" s="8">
        <f>IF(Data!V20&lt;=QUARTILE(Data!V$4:V$153,1),1,IF(Data!V20&lt;=MEDIAN(Data!V$4:V$153),2,IF(Data!V20&lt;=QUARTILE(Data!V$4:V$153,3),3,4)))</f>
        <v>3</v>
      </c>
      <c r="W20" s="8">
        <f>IF(Data!W20&lt;=QUARTILE(Data!W$4:W$153,1),1,IF(Data!W20&lt;=MEDIAN(Data!W$4:W$153),2,IF(Data!W20&lt;=QUARTILE(Data!W$4:W$153,3),3,4)))</f>
        <v>3</v>
      </c>
      <c r="X20" s="8">
        <f>IF(Data!X20&lt;=QUARTILE(Data!X$4:X$153,1),1,IF(Data!X20&lt;=MEDIAN(Data!X$4:X$153),2,IF(Data!X20&lt;=QUARTILE(Data!X$4:X$153,3),3,4)))</f>
        <v>3</v>
      </c>
      <c r="Y20" s="8">
        <f>IF(Data!Y20&lt;=QUARTILE(Data!Y$4:Y$153,1),1,IF(Data!Y20&lt;=MEDIAN(Data!Y$4:Y$153),2,IF(Data!Y20&lt;=QUARTILE(Data!Y$4:Y$153,3),3,4)))</f>
        <v>3</v>
      </c>
      <c r="Z20" s="8">
        <f>IF(Data!Z20&lt;=QUARTILE(Data!Z$4:Z$153,1),1,IF(Data!Z20&lt;=MEDIAN(Data!Z$4:Z$153),2,IF(Data!Z20&lt;=QUARTILE(Data!Z$4:Z$153,3),3,4)))</f>
        <v>3</v>
      </c>
      <c r="AA20" s="8">
        <f>IF(Data!AA20&lt;=QUARTILE(Data!AA$4:AA$153,1),1,IF(Data!AA20&lt;=MEDIAN(Data!AA$4:AA$153),2,IF(Data!AA20&lt;=QUARTILE(Data!AA$4:AA$153,3),3,4)))</f>
        <v>1</v>
      </c>
      <c r="AB20" s="8">
        <f>IF(Data!AB20&lt;=QUARTILE(Data!AB$4:AB$153,1),1,IF(Data!AB20&lt;=MEDIAN(Data!AB$4:AB$153),2,IF(Data!AB20&lt;=QUARTILE(Data!AB$4:AB$153,3),3,4)))</f>
        <v>4</v>
      </c>
      <c r="AC20" s="8">
        <f>IF(Data!AC20&lt;=QUARTILE(Data!AC$4:AC$153,1),1,IF(Data!AC20&lt;=MEDIAN(Data!AC$4:AC$153),2,IF(Data!AC20&lt;=QUARTILE(Data!AC$4:AC$153,3),3,4)))</f>
        <v>3</v>
      </c>
      <c r="AD20" s="8">
        <f>IF(Data!AD20&lt;=QUARTILE(Data!AD$4:AD$153,1),1,IF(Data!AD20&lt;=MEDIAN(Data!AD$4:AD$153),2,IF(Data!AD20&lt;=QUARTILE(Data!AD$4:AD$153,3),3,4)))</f>
        <v>3</v>
      </c>
      <c r="AE20" s="8">
        <f>IF(Data!AE20&lt;=QUARTILE(Data!AE$4:AE$153,1),1,IF(Data!AE20&lt;=MEDIAN(Data!AE$4:AE$153),2,IF(Data!AE20&lt;=QUARTILE(Data!AE$4:AE$153,3),3,4)))</f>
        <v>4</v>
      </c>
      <c r="AF20" s="8">
        <f>IF(Data!AF20&lt;=QUARTILE(Data!AF$4:AF$153,1),1,IF(Data!AF20&lt;=MEDIAN(Data!AF$4:AF$153),2,IF(Data!AF20&lt;=QUARTILE(Data!AF$4:AF$153,3),3,4)))</f>
        <v>1</v>
      </c>
      <c r="AG20" s="8">
        <f>IF(Data!AG20&lt;=QUARTILE(Data!AG$4:AG$153,1),1,IF(Data!AG20&lt;=MEDIAN(Data!AG$4:AG$153),2,IF(Data!AG20&lt;=QUARTILE(Data!AG$4:AG$153,3),3,4)))</f>
        <v>1</v>
      </c>
      <c r="AH20" s="9">
        <f>IF(Data!AH20&lt;=QUARTILE(Data!AH$4:AH$153,1),1,IF(Data!AH20&lt;=MEDIAN(Data!AH$4:AH$153),2,IF(Data!AH20&lt;=QUARTILE(Data!AH$4:AH$153,3),3,4)))</f>
        <v>4</v>
      </c>
    </row>
    <row r="21" spans="1:34" x14ac:dyDescent="0.25">
      <c r="A21" s="7" t="s">
        <v>23</v>
      </c>
      <c r="B21" s="14" t="s">
        <v>52</v>
      </c>
      <c r="C21" s="7">
        <v>34</v>
      </c>
      <c r="D21" s="8">
        <v>48</v>
      </c>
      <c r="E21" s="42" t="s">
        <v>59</v>
      </c>
      <c r="F21" s="9">
        <v>-2.31</v>
      </c>
      <c r="G21" s="7">
        <f>IF(Data!G21&lt;=QUARTILE(Data!G$4:G$153,1),1,IF(Data!G21&lt;=MEDIAN(Data!G$4:G$153),2,IF(Data!G21&lt;=QUARTILE(Data!G$4:G$153,3),3,4)))</f>
        <v>2</v>
      </c>
      <c r="H21" s="8">
        <f>IF(Data!H21&lt;=QUARTILE(Data!H$4:H$153,1),1,IF(Data!H21&lt;=MEDIAN(Data!H$4:H$153),2,IF(Data!H21&lt;=QUARTILE(Data!H$4:H$153,3),3,4)))</f>
        <v>2</v>
      </c>
      <c r="I21" s="8">
        <f>IF(Data!I21&lt;=QUARTILE(Data!I$4:I$153,1),1,IF(Data!I21&lt;=MEDIAN(Data!I$4:I$153),2,IF(Data!I21&lt;=QUARTILE(Data!I$4:I$153,3),3,4)))</f>
        <v>4</v>
      </c>
      <c r="J21" s="8">
        <f>IF(Data!J21&lt;=QUARTILE(Data!J$4:J$153,1),1,IF(Data!J21&lt;=MEDIAN(Data!J$4:J$153),2,IF(Data!J21&lt;=QUARTILE(Data!J$4:J$153,3),3,4)))</f>
        <v>4</v>
      </c>
      <c r="K21" s="8">
        <f>IF(Data!K21&lt;=QUARTILE(Data!K$4:K$153,1),1,IF(Data!K21&lt;=MEDIAN(Data!K$4:K$153),2,IF(Data!K21&lt;=QUARTILE(Data!K$4:K$153,3),3,4)))</f>
        <v>2</v>
      </c>
      <c r="L21" s="8">
        <f>IF(Data!L21&lt;=QUARTILE(Data!L$4:L$153,1),1,IF(Data!L21&lt;=MEDIAN(Data!L$4:L$153),2,IF(Data!L21&lt;=QUARTILE(Data!L$4:L$153,3),3,4)))</f>
        <v>2</v>
      </c>
      <c r="M21" s="8">
        <f>IF(Data!M21&lt;=QUARTILE(Data!M$4:M$153,1),1,IF(Data!M21&lt;=MEDIAN(Data!M$4:M$153),2,IF(Data!M21&lt;=QUARTILE(Data!M$4:M$153,3),3,4)))</f>
        <v>1</v>
      </c>
      <c r="N21" s="8">
        <f>IF(Data!N21&lt;=QUARTILE(Data!N$4:N$153,1),1,IF(Data!N21&lt;=MEDIAN(Data!N$4:N$153),2,IF(Data!N21&lt;=QUARTILE(Data!N$4:N$153,3),3,4)))</f>
        <v>2</v>
      </c>
      <c r="O21" s="8">
        <f>IF(Data!O21&lt;=QUARTILE(Data!O$4:O$153,1),1,IF(Data!O21&lt;=MEDIAN(Data!O$4:O$153),2,IF(Data!O21&lt;=QUARTILE(Data!O$4:O$153,3),3,4)))</f>
        <v>1</v>
      </c>
      <c r="P21" s="8">
        <f>IF(Data!P21&lt;=QUARTILE(Data!P$4:P$153,1),1,IF(Data!P21&lt;=MEDIAN(Data!P$4:P$153),2,IF(Data!P21&lt;=QUARTILE(Data!P$4:P$153,3),3,4)))</f>
        <v>2</v>
      </c>
      <c r="Q21" s="8">
        <f>IF(Data!Q21&lt;=QUARTILE(Data!Q$4:Q$153,1),1,IF(Data!Q21&lt;=MEDIAN(Data!Q$4:Q$153),2,IF(Data!Q21&lt;=QUARTILE(Data!Q$4:Q$153,3),3,4)))</f>
        <v>3</v>
      </c>
      <c r="R21" s="8">
        <f>IF(Data!R21&lt;=QUARTILE(Data!R$4:R$153,1),1,IF(Data!R21&lt;=MEDIAN(Data!R$4:R$153),2,IF(Data!R21&lt;=QUARTILE(Data!R$4:R$153,3),3,4)))</f>
        <v>1</v>
      </c>
      <c r="S21" s="8">
        <f>IF(Data!S21&lt;=QUARTILE(Data!S$4:S$153,1),1,IF(Data!S21&lt;=MEDIAN(Data!S$4:S$153),2,IF(Data!S21&lt;=QUARTILE(Data!S$4:S$153,3),3,4)))</f>
        <v>3</v>
      </c>
      <c r="T21" s="9">
        <f>IF(Data!T21&lt;=QUARTILE(Data!T$4:T$153,1),1,IF(Data!T21&lt;=MEDIAN(Data!T$4:T$153),2,IF(Data!T21&lt;=QUARTILE(Data!T$4:T$153,3),3,4)))</f>
        <v>3</v>
      </c>
      <c r="U21" s="7">
        <f>IF(Data!U21&lt;=QUARTILE(Data!U$4:U$153,1),1,IF(Data!U21&lt;=MEDIAN(Data!U$4:U$153),2,IF(Data!U21&lt;=QUARTILE(Data!U$4:U$153,3),3,4)))</f>
        <v>2</v>
      </c>
      <c r="V21" s="8">
        <f>IF(Data!V21&lt;=QUARTILE(Data!V$4:V$153,1),1,IF(Data!V21&lt;=MEDIAN(Data!V$4:V$153),2,IF(Data!V21&lt;=QUARTILE(Data!V$4:V$153,3),3,4)))</f>
        <v>1</v>
      </c>
      <c r="W21" s="8">
        <f>IF(Data!W21&lt;=QUARTILE(Data!W$4:W$153,1),1,IF(Data!W21&lt;=MEDIAN(Data!W$4:W$153),2,IF(Data!W21&lt;=QUARTILE(Data!W$4:W$153,3),3,4)))</f>
        <v>4</v>
      </c>
      <c r="X21" s="8">
        <f>IF(Data!X21&lt;=QUARTILE(Data!X$4:X$153,1),1,IF(Data!X21&lt;=MEDIAN(Data!X$4:X$153),2,IF(Data!X21&lt;=QUARTILE(Data!X$4:X$153,3),3,4)))</f>
        <v>4</v>
      </c>
      <c r="Y21" s="8">
        <f>IF(Data!Y21&lt;=QUARTILE(Data!Y$4:Y$153,1),1,IF(Data!Y21&lt;=MEDIAN(Data!Y$4:Y$153),2,IF(Data!Y21&lt;=QUARTILE(Data!Y$4:Y$153,3),3,4)))</f>
        <v>4</v>
      </c>
      <c r="Z21" s="8">
        <f>IF(Data!Z21&lt;=QUARTILE(Data!Z$4:Z$153,1),1,IF(Data!Z21&lt;=MEDIAN(Data!Z$4:Z$153),2,IF(Data!Z21&lt;=QUARTILE(Data!Z$4:Z$153,3),3,4)))</f>
        <v>4</v>
      </c>
      <c r="AA21" s="8">
        <f>IF(Data!AA21&lt;=QUARTILE(Data!AA$4:AA$153,1),1,IF(Data!AA21&lt;=MEDIAN(Data!AA$4:AA$153),2,IF(Data!AA21&lt;=QUARTILE(Data!AA$4:AA$153,3),3,4)))</f>
        <v>1</v>
      </c>
      <c r="AB21" s="8">
        <f>IF(Data!AB21&lt;=QUARTILE(Data!AB$4:AB$153,1),1,IF(Data!AB21&lt;=MEDIAN(Data!AB$4:AB$153),2,IF(Data!AB21&lt;=QUARTILE(Data!AB$4:AB$153,3),3,4)))</f>
        <v>3</v>
      </c>
      <c r="AC21" s="8">
        <f>IF(Data!AC21&lt;=QUARTILE(Data!AC$4:AC$153,1),1,IF(Data!AC21&lt;=MEDIAN(Data!AC$4:AC$153),2,IF(Data!AC21&lt;=QUARTILE(Data!AC$4:AC$153,3),3,4)))</f>
        <v>3</v>
      </c>
      <c r="AD21" s="8">
        <f>IF(Data!AD21&lt;=QUARTILE(Data!AD$4:AD$153,1),1,IF(Data!AD21&lt;=MEDIAN(Data!AD$4:AD$153),2,IF(Data!AD21&lt;=QUARTILE(Data!AD$4:AD$153,3),3,4)))</f>
        <v>2</v>
      </c>
      <c r="AE21" s="8">
        <f>IF(Data!AE21&lt;=QUARTILE(Data!AE$4:AE$153,1),1,IF(Data!AE21&lt;=MEDIAN(Data!AE$4:AE$153),2,IF(Data!AE21&lt;=QUARTILE(Data!AE$4:AE$153,3),3,4)))</f>
        <v>2</v>
      </c>
      <c r="AF21" s="8">
        <f>IF(Data!AF21&lt;=QUARTILE(Data!AF$4:AF$153,1),1,IF(Data!AF21&lt;=MEDIAN(Data!AF$4:AF$153),2,IF(Data!AF21&lt;=QUARTILE(Data!AF$4:AF$153,3),3,4)))</f>
        <v>1</v>
      </c>
      <c r="AG21" s="8">
        <f>IF(Data!AG21&lt;=QUARTILE(Data!AG$4:AG$153,1),1,IF(Data!AG21&lt;=MEDIAN(Data!AG$4:AG$153),2,IF(Data!AG21&lt;=QUARTILE(Data!AG$4:AG$153,3),3,4)))</f>
        <v>1</v>
      </c>
      <c r="AH21" s="9">
        <f>IF(Data!AH21&lt;=QUARTILE(Data!AH$4:AH$153,1),1,IF(Data!AH21&lt;=MEDIAN(Data!AH$4:AH$153),2,IF(Data!AH21&lt;=QUARTILE(Data!AH$4:AH$153,3),3,4)))</f>
        <v>3</v>
      </c>
    </row>
    <row r="22" spans="1:34" x14ac:dyDescent="0.25">
      <c r="A22" s="7" t="s">
        <v>71</v>
      </c>
      <c r="B22" s="14" t="s">
        <v>52</v>
      </c>
      <c r="C22" s="7">
        <v>49</v>
      </c>
      <c r="D22" s="8">
        <v>33</v>
      </c>
      <c r="E22" s="42" t="s">
        <v>58</v>
      </c>
      <c r="F22" s="9">
        <v>1.41</v>
      </c>
      <c r="G22" s="7">
        <f>IF(Data!G22&lt;=QUARTILE(Data!G$4:G$153,1),1,IF(Data!G22&lt;=MEDIAN(Data!G$4:G$153),2,IF(Data!G22&lt;=QUARTILE(Data!G$4:G$153,3),3,4)))</f>
        <v>1</v>
      </c>
      <c r="H22" s="8">
        <f>IF(Data!H22&lt;=QUARTILE(Data!H$4:H$153,1),1,IF(Data!H22&lt;=MEDIAN(Data!H$4:H$153),2,IF(Data!H22&lt;=QUARTILE(Data!H$4:H$153,3),3,4)))</f>
        <v>1</v>
      </c>
      <c r="I22" s="8">
        <f>IF(Data!I22&lt;=QUARTILE(Data!I$4:I$153,1),1,IF(Data!I22&lt;=MEDIAN(Data!I$4:I$153),2,IF(Data!I22&lt;=QUARTILE(Data!I$4:I$153,3),3,4)))</f>
        <v>3</v>
      </c>
      <c r="J22" s="8">
        <f>IF(Data!J22&lt;=QUARTILE(Data!J$4:J$153,1),1,IF(Data!J22&lt;=MEDIAN(Data!J$4:J$153),2,IF(Data!J22&lt;=QUARTILE(Data!J$4:J$153,3),3,4)))</f>
        <v>3</v>
      </c>
      <c r="K22" s="8">
        <f>IF(Data!K22&lt;=QUARTILE(Data!K$4:K$153,1),1,IF(Data!K22&lt;=MEDIAN(Data!K$4:K$153),2,IF(Data!K22&lt;=QUARTILE(Data!K$4:K$153,3),3,4)))</f>
        <v>1</v>
      </c>
      <c r="L22" s="8">
        <f>IF(Data!L22&lt;=QUARTILE(Data!L$4:L$153,1),1,IF(Data!L22&lt;=MEDIAN(Data!L$4:L$153),2,IF(Data!L22&lt;=QUARTILE(Data!L$4:L$153,3),3,4)))</f>
        <v>1</v>
      </c>
      <c r="M22" s="8">
        <f>IF(Data!M22&lt;=QUARTILE(Data!M$4:M$153,1),1,IF(Data!M22&lt;=MEDIAN(Data!M$4:M$153),2,IF(Data!M22&lt;=QUARTILE(Data!M$4:M$153,3),3,4)))</f>
        <v>1</v>
      </c>
      <c r="N22" s="8">
        <f>IF(Data!N22&lt;=QUARTILE(Data!N$4:N$153,1),1,IF(Data!N22&lt;=MEDIAN(Data!N$4:N$153),2,IF(Data!N22&lt;=QUARTILE(Data!N$4:N$153,3),3,4)))</f>
        <v>2</v>
      </c>
      <c r="O22" s="8">
        <f>IF(Data!O22&lt;=QUARTILE(Data!O$4:O$153,1),1,IF(Data!O22&lt;=MEDIAN(Data!O$4:O$153),2,IF(Data!O22&lt;=QUARTILE(Data!O$4:O$153,3),3,4)))</f>
        <v>1</v>
      </c>
      <c r="P22" s="8">
        <f>IF(Data!P22&lt;=QUARTILE(Data!P$4:P$153,1),1,IF(Data!P22&lt;=MEDIAN(Data!P$4:P$153),2,IF(Data!P22&lt;=QUARTILE(Data!P$4:P$153,3),3,4)))</f>
        <v>3</v>
      </c>
      <c r="Q22" s="8">
        <f>IF(Data!Q22&lt;=QUARTILE(Data!Q$4:Q$153,1),1,IF(Data!Q22&lt;=MEDIAN(Data!Q$4:Q$153),2,IF(Data!Q22&lt;=QUARTILE(Data!Q$4:Q$153,3),3,4)))</f>
        <v>1</v>
      </c>
      <c r="R22" s="8">
        <f>IF(Data!R22&lt;=QUARTILE(Data!R$4:R$153,1),1,IF(Data!R22&lt;=MEDIAN(Data!R$4:R$153),2,IF(Data!R22&lt;=QUARTILE(Data!R$4:R$153,3),3,4)))</f>
        <v>1</v>
      </c>
      <c r="S22" s="8">
        <f>IF(Data!S22&lt;=QUARTILE(Data!S$4:S$153,1),1,IF(Data!S22&lt;=MEDIAN(Data!S$4:S$153),2,IF(Data!S22&lt;=QUARTILE(Data!S$4:S$153,3),3,4)))</f>
        <v>1</v>
      </c>
      <c r="T22" s="9">
        <f>IF(Data!T22&lt;=QUARTILE(Data!T$4:T$153,1),1,IF(Data!T22&lt;=MEDIAN(Data!T$4:T$153),2,IF(Data!T22&lt;=QUARTILE(Data!T$4:T$153,3),3,4)))</f>
        <v>2</v>
      </c>
      <c r="U22" s="7">
        <f>IF(Data!U22&lt;=QUARTILE(Data!U$4:U$153,1),1,IF(Data!U22&lt;=MEDIAN(Data!U$4:U$153),2,IF(Data!U22&lt;=QUARTILE(Data!U$4:U$153,3),3,4)))</f>
        <v>1</v>
      </c>
      <c r="V22" s="8">
        <f>IF(Data!V22&lt;=QUARTILE(Data!V$4:V$153,1),1,IF(Data!V22&lt;=MEDIAN(Data!V$4:V$153),2,IF(Data!V22&lt;=QUARTILE(Data!V$4:V$153,3),3,4)))</f>
        <v>1</v>
      </c>
      <c r="W22" s="8">
        <f>IF(Data!W22&lt;=QUARTILE(Data!W$4:W$153,1),1,IF(Data!W22&lt;=MEDIAN(Data!W$4:W$153),2,IF(Data!W22&lt;=QUARTILE(Data!W$4:W$153,3),3,4)))</f>
        <v>4</v>
      </c>
      <c r="X22" s="8">
        <f>IF(Data!X22&lt;=QUARTILE(Data!X$4:X$153,1),1,IF(Data!X22&lt;=MEDIAN(Data!X$4:X$153),2,IF(Data!X22&lt;=QUARTILE(Data!X$4:X$153,3),3,4)))</f>
        <v>4</v>
      </c>
      <c r="Y22" s="8">
        <f>IF(Data!Y22&lt;=QUARTILE(Data!Y$4:Y$153,1),1,IF(Data!Y22&lt;=MEDIAN(Data!Y$4:Y$153),2,IF(Data!Y22&lt;=QUARTILE(Data!Y$4:Y$153,3),3,4)))</f>
        <v>1</v>
      </c>
      <c r="Z22" s="8">
        <f>IF(Data!Z22&lt;=QUARTILE(Data!Z$4:Z$153,1),1,IF(Data!Z22&lt;=MEDIAN(Data!Z$4:Z$153),2,IF(Data!Z22&lt;=QUARTILE(Data!Z$4:Z$153,3),3,4)))</f>
        <v>1</v>
      </c>
      <c r="AA22" s="8">
        <f>IF(Data!AA22&lt;=QUARTILE(Data!AA$4:AA$153,1),1,IF(Data!AA22&lt;=MEDIAN(Data!AA$4:AA$153),2,IF(Data!AA22&lt;=QUARTILE(Data!AA$4:AA$153,3),3,4)))</f>
        <v>1</v>
      </c>
      <c r="AB22" s="8">
        <f>IF(Data!AB22&lt;=QUARTILE(Data!AB$4:AB$153,1),1,IF(Data!AB22&lt;=MEDIAN(Data!AB$4:AB$153),2,IF(Data!AB22&lt;=QUARTILE(Data!AB$4:AB$153,3),3,4)))</f>
        <v>2</v>
      </c>
      <c r="AC22" s="8">
        <f>IF(Data!AC22&lt;=QUARTILE(Data!AC$4:AC$153,1),1,IF(Data!AC22&lt;=MEDIAN(Data!AC$4:AC$153),2,IF(Data!AC22&lt;=QUARTILE(Data!AC$4:AC$153,3),3,4)))</f>
        <v>2</v>
      </c>
      <c r="AD22" s="8">
        <f>IF(Data!AD22&lt;=QUARTILE(Data!AD$4:AD$153,1),1,IF(Data!AD22&lt;=MEDIAN(Data!AD$4:AD$153),2,IF(Data!AD22&lt;=QUARTILE(Data!AD$4:AD$153,3),3,4)))</f>
        <v>1</v>
      </c>
      <c r="AE22" s="8">
        <f>IF(Data!AE22&lt;=QUARTILE(Data!AE$4:AE$153,1),1,IF(Data!AE22&lt;=MEDIAN(Data!AE$4:AE$153),2,IF(Data!AE22&lt;=QUARTILE(Data!AE$4:AE$153,3),3,4)))</f>
        <v>1</v>
      </c>
      <c r="AF22" s="8">
        <f>IF(Data!AF22&lt;=QUARTILE(Data!AF$4:AF$153,1),1,IF(Data!AF22&lt;=MEDIAN(Data!AF$4:AF$153),2,IF(Data!AF22&lt;=QUARTILE(Data!AF$4:AF$153,3),3,4)))</f>
        <v>1</v>
      </c>
      <c r="AG22" s="8">
        <f>IF(Data!AG22&lt;=QUARTILE(Data!AG$4:AG$153,1),1,IF(Data!AG22&lt;=MEDIAN(Data!AG$4:AG$153),2,IF(Data!AG22&lt;=QUARTILE(Data!AG$4:AG$153,3),3,4)))</f>
        <v>1</v>
      </c>
      <c r="AH22" s="9">
        <f>IF(Data!AH22&lt;=QUARTILE(Data!AH$4:AH$153,1),1,IF(Data!AH22&lt;=MEDIAN(Data!AH$4:AH$153),2,IF(Data!AH22&lt;=QUARTILE(Data!AH$4:AH$153,3),3,4)))</f>
        <v>1</v>
      </c>
    </row>
    <row r="23" spans="1:34" x14ac:dyDescent="0.25">
      <c r="A23" s="7" t="s">
        <v>18</v>
      </c>
      <c r="B23" s="14" t="s">
        <v>52</v>
      </c>
      <c r="C23" s="7">
        <v>32</v>
      </c>
      <c r="D23" s="8">
        <v>50</v>
      </c>
      <c r="E23" s="42" t="s">
        <v>59</v>
      </c>
      <c r="F23" s="9">
        <v>-2.33</v>
      </c>
      <c r="G23" s="7">
        <f>IF(Data!G23&lt;=QUARTILE(Data!G$4:G$153,1),1,IF(Data!G23&lt;=MEDIAN(Data!G$4:G$153),2,IF(Data!G23&lt;=QUARTILE(Data!G$4:G$153,3),3,4)))</f>
        <v>4</v>
      </c>
      <c r="H23" s="8">
        <f>IF(Data!H23&lt;=QUARTILE(Data!H$4:H$153,1),1,IF(Data!H23&lt;=MEDIAN(Data!H$4:H$153),2,IF(Data!H23&lt;=QUARTILE(Data!H$4:H$153,3),3,4)))</f>
        <v>4</v>
      </c>
      <c r="I23" s="8">
        <f>IF(Data!I23&lt;=QUARTILE(Data!I$4:I$153,1),1,IF(Data!I23&lt;=MEDIAN(Data!I$4:I$153),2,IF(Data!I23&lt;=QUARTILE(Data!I$4:I$153,3),3,4)))</f>
        <v>4</v>
      </c>
      <c r="J23" s="8">
        <f>IF(Data!J23&lt;=QUARTILE(Data!J$4:J$153,1),1,IF(Data!J23&lt;=MEDIAN(Data!J$4:J$153),2,IF(Data!J23&lt;=QUARTILE(Data!J$4:J$153,3),3,4)))</f>
        <v>4</v>
      </c>
      <c r="K23" s="8">
        <f>IF(Data!K23&lt;=QUARTILE(Data!K$4:K$153,1),1,IF(Data!K23&lt;=MEDIAN(Data!K$4:K$153),2,IF(Data!K23&lt;=QUARTILE(Data!K$4:K$153,3),3,4)))</f>
        <v>1</v>
      </c>
      <c r="L23" s="8">
        <f>IF(Data!L23&lt;=QUARTILE(Data!L$4:L$153,1),1,IF(Data!L23&lt;=MEDIAN(Data!L$4:L$153),2,IF(Data!L23&lt;=QUARTILE(Data!L$4:L$153,3),3,4)))</f>
        <v>1</v>
      </c>
      <c r="M23" s="8">
        <f>IF(Data!M23&lt;=QUARTILE(Data!M$4:M$153,1),1,IF(Data!M23&lt;=MEDIAN(Data!M$4:M$153),2,IF(Data!M23&lt;=QUARTILE(Data!M$4:M$153,3),3,4)))</f>
        <v>2</v>
      </c>
      <c r="N23" s="8">
        <f>IF(Data!N23&lt;=QUARTILE(Data!N$4:N$153,1),1,IF(Data!N23&lt;=MEDIAN(Data!N$4:N$153),2,IF(Data!N23&lt;=QUARTILE(Data!N$4:N$153,3),3,4)))</f>
        <v>4</v>
      </c>
      <c r="O23" s="8">
        <f>IF(Data!O23&lt;=QUARTILE(Data!O$4:O$153,1),1,IF(Data!O23&lt;=MEDIAN(Data!O$4:O$153),2,IF(Data!O23&lt;=QUARTILE(Data!O$4:O$153,3),3,4)))</f>
        <v>3</v>
      </c>
      <c r="P23" s="8">
        <f>IF(Data!P23&lt;=QUARTILE(Data!P$4:P$153,1),1,IF(Data!P23&lt;=MEDIAN(Data!P$4:P$153),2,IF(Data!P23&lt;=QUARTILE(Data!P$4:P$153,3),3,4)))</f>
        <v>3</v>
      </c>
      <c r="Q23" s="8">
        <f>IF(Data!Q23&lt;=QUARTILE(Data!Q$4:Q$153,1),1,IF(Data!Q23&lt;=MEDIAN(Data!Q$4:Q$153),2,IF(Data!Q23&lt;=QUARTILE(Data!Q$4:Q$153,3),3,4)))</f>
        <v>1</v>
      </c>
      <c r="R23" s="8">
        <f>IF(Data!R23&lt;=QUARTILE(Data!R$4:R$153,1),1,IF(Data!R23&lt;=MEDIAN(Data!R$4:R$153),2,IF(Data!R23&lt;=QUARTILE(Data!R$4:R$153,3),3,4)))</f>
        <v>2</v>
      </c>
      <c r="S23" s="8">
        <f>IF(Data!S23&lt;=QUARTILE(Data!S$4:S$153,1),1,IF(Data!S23&lt;=MEDIAN(Data!S$4:S$153),2,IF(Data!S23&lt;=QUARTILE(Data!S$4:S$153,3),3,4)))</f>
        <v>1</v>
      </c>
      <c r="T23" s="9">
        <f>IF(Data!T23&lt;=QUARTILE(Data!T$4:T$153,1),1,IF(Data!T23&lt;=MEDIAN(Data!T$4:T$153),2,IF(Data!T23&lt;=QUARTILE(Data!T$4:T$153,3),3,4)))</f>
        <v>4</v>
      </c>
      <c r="U23" s="7">
        <f>IF(Data!U23&lt;=QUARTILE(Data!U$4:U$153,1),1,IF(Data!U23&lt;=MEDIAN(Data!U$4:U$153),2,IF(Data!U23&lt;=QUARTILE(Data!U$4:U$153,3),3,4)))</f>
        <v>4</v>
      </c>
      <c r="V23" s="8">
        <f>IF(Data!V23&lt;=QUARTILE(Data!V$4:V$153,1),1,IF(Data!V23&lt;=MEDIAN(Data!V$4:V$153),2,IF(Data!V23&lt;=QUARTILE(Data!V$4:V$153,3),3,4)))</f>
        <v>4</v>
      </c>
      <c r="W23" s="8">
        <f>IF(Data!W23&lt;=QUARTILE(Data!W$4:W$153,1),1,IF(Data!W23&lt;=MEDIAN(Data!W$4:W$153),2,IF(Data!W23&lt;=QUARTILE(Data!W$4:W$153,3),3,4)))</f>
        <v>4</v>
      </c>
      <c r="X23" s="8">
        <f>IF(Data!X23&lt;=QUARTILE(Data!X$4:X$153,1),1,IF(Data!X23&lt;=MEDIAN(Data!X$4:X$153),2,IF(Data!X23&lt;=QUARTILE(Data!X$4:X$153,3),3,4)))</f>
        <v>4</v>
      </c>
      <c r="Y23" s="8">
        <f>IF(Data!Y23&lt;=QUARTILE(Data!Y$4:Y$153,1),1,IF(Data!Y23&lt;=MEDIAN(Data!Y$4:Y$153),2,IF(Data!Y23&lt;=QUARTILE(Data!Y$4:Y$153,3),3,4)))</f>
        <v>2</v>
      </c>
      <c r="Z23" s="8">
        <f>IF(Data!Z23&lt;=QUARTILE(Data!Z$4:Z$153,1),1,IF(Data!Z23&lt;=MEDIAN(Data!Z$4:Z$153),2,IF(Data!Z23&lt;=QUARTILE(Data!Z$4:Z$153,3),3,4)))</f>
        <v>2</v>
      </c>
      <c r="AA23" s="8">
        <f>IF(Data!AA23&lt;=QUARTILE(Data!AA$4:AA$153,1),1,IF(Data!AA23&lt;=MEDIAN(Data!AA$4:AA$153),2,IF(Data!AA23&lt;=QUARTILE(Data!AA$4:AA$153,3),3,4)))</f>
        <v>3</v>
      </c>
      <c r="AB23" s="8">
        <f>IF(Data!AB23&lt;=QUARTILE(Data!AB$4:AB$153,1),1,IF(Data!AB23&lt;=MEDIAN(Data!AB$4:AB$153),2,IF(Data!AB23&lt;=QUARTILE(Data!AB$4:AB$153,3),3,4)))</f>
        <v>4</v>
      </c>
      <c r="AC23" s="8">
        <f>IF(Data!AC23&lt;=QUARTILE(Data!AC$4:AC$153,1),1,IF(Data!AC23&lt;=MEDIAN(Data!AC$4:AC$153),2,IF(Data!AC23&lt;=QUARTILE(Data!AC$4:AC$153,3),3,4)))</f>
        <v>3</v>
      </c>
      <c r="AD23" s="8">
        <f>IF(Data!AD23&lt;=QUARTILE(Data!AD$4:AD$153,1),1,IF(Data!AD23&lt;=MEDIAN(Data!AD$4:AD$153),2,IF(Data!AD23&lt;=QUARTILE(Data!AD$4:AD$153,3),3,4)))</f>
        <v>4</v>
      </c>
      <c r="AE23" s="8">
        <f>IF(Data!AE23&lt;=QUARTILE(Data!AE$4:AE$153,1),1,IF(Data!AE23&lt;=MEDIAN(Data!AE$4:AE$153),2,IF(Data!AE23&lt;=QUARTILE(Data!AE$4:AE$153,3),3,4)))</f>
        <v>4</v>
      </c>
      <c r="AF23" s="8">
        <f>IF(Data!AF23&lt;=QUARTILE(Data!AF$4:AF$153,1),1,IF(Data!AF23&lt;=MEDIAN(Data!AF$4:AF$153),2,IF(Data!AF23&lt;=QUARTILE(Data!AF$4:AF$153,3),3,4)))</f>
        <v>3</v>
      </c>
      <c r="AG23" s="8">
        <f>IF(Data!AG23&lt;=QUARTILE(Data!AG$4:AG$153,1),1,IF(Data!AG23&lt;=MEDIAN(Data!AG$4:AG$153),2,IF(Data!AG23&lt;=QUARTILE(Data!AG$4:AG$153,3),3,4)))</f>
        <v>1</v>
      </c>
      <c r="AH23" s="9">
        <f>IF(Data!AH23&lt;=QUARTILE(Data!AH$4:AH$153,1),1,IF(Data!AH23&lt;=MEDIAN(Data!AH$4:AH$153),2,IF(Data!AH23&lt;=QUARTILE(Data!AH$4:AH$153,3),3,4)))</f>
        <v>4</v>
      </c>
    </row>
    <row r="24" spans="1:34" x14ac:dyDescent="0.25">
      <c r="A24" s="7" t="s">
        <v>25</v>
      </c>
      <c r="B24" s="14" t="s">
        <v>52</v>
      </c>
      <c r="C24" s="7">
        <v>23</v>
      </c>
      <c r="D24" s="8">
        <v>59</v>
      </c>
      <c r="E24" s="42" t="s">
        <v>59</v>
      </c>
      <c r="F24" s="9">
        <v>-6.03</v>
      </c>
      <c r="G24" s="7">
        <f>IF(Data!G24&lt;=QUARTILE(Data!G$4:G$153,1),1,IF(Data!G24&lt;=MEDIAN(Data!G$4:G$153),2,IF(Data!G24&lt;=QUARTILE(Data!G$4:G$153,3),3,4)))</f>
        <v>3</v>
      </c>
      <c r="H24" s="8">
        <f>IF(Data!H24&lt;=QUARTILE(Data!H$4:H$153,1),1,IF(Data!H24&lt;=MEDIAN(Data!H$4:H$153),2,IF(Data!H24&lt;=QUARTILE(Data!H$4:H$153,3),3,4)))</f>
        <v>4</v>
      </c>
      <c r="I24" s="8">
        <f>IF(Data!I24&lt;=QUARTILE(Data!I$4:I$153,1),1,IF(Data!I24&lt;=MEDIAN(Data!I$4:I$153),2,IF(Data!I24&lt;=QUARTILE(Data!I$4:I$153,3),3,4)))</f>
        <v>1</v>
      </c>
      <c r="J24" s="8">
        <f>IF(Data!J24&lt;=QUARTILE(Data!J$4:J$153,1),1,IF(Data!J24&lt;=MEDIAN(Data!J$4:J$153),2,IF(Data!J24&lt;=QUARTILE(Data!J$4:J$153,3),3,4)))</f>
        <v>1</v>
      </c>
      <c r="K24" s="8">
        <f>IF(Data!K24&lt;=QUARTILE(Data!K$4:K$153,1),1,IF(Data!K24&lt;=MEDIAN(Data!K$4:K$153),2,IF(Data!K24&lt;=QUARTILE(Data!K$4:K$153,3),3,4)))</f>
        <v>3</v>
      </c>
      <c r="L24" s="8">
        <f>IF(Data!L24&lt;=QUARTILE(Data!L$4:L$153,1),1,IF(Data!L24&lt;=MEDIAN(Data!L$4:L$153),2,IF(Data!L24&lt;=QUARTILE(Data!L$4:L$153,3),3,4)))</f>
        <v>2</v>
      </c>
      <c r="M24" s="8">
        <f>IF(Data!M24&lt;=QUARTILE(Data!M$4:M$153,1),1,IF(Data!M24&lt;=MEDIAN(Data!M$4:M$153),2,IF(Data!M24&lt;=QUARTILE(Data!M$4:M$153,3),3,4)))</f>
        <v>4</v>
      </c>
      <c r="N24" s="8">
        <f>IF(Data!N24&lt;=QUARTILE(Data!N$4:N$153,1),1,IF(Data!N24&lt;=MEDIAN(Data!N$4:N$153),2,IF(Data!N24&lt;=QUARTILE(Data!N$4:N$153,3),3,4)))</f>
        <v>3</v>
      </c>
      <c r="O24" s="8">
        <f>IF(Data!O24&lt;=QUARTILE(Data!O$4:O$153,1),1,IF(Data!O24&lt;=MEDIAN(Data!O$4:O$153),2,IF(Data!O24&lt;=QUARTILE(Data!O$4:O$153,3),3,4)))</f>
        <v>2</v>
      </c>
      <c r="P24" s="8">
        <f>IF(Data!P24&lt;=QUARTILE(Data!P$4:P$153,1),1,IF(Data!P24&lt;=MEDIAN(Data!P$4:P$153),2,IF(Data!P24&lt;=QUARTILE(Data!P$4:P$153,3),3,4)))</f>
        <v>3</v>
      </c>
      <c r="Q24" s="8">
        <f>IF(Data!Q24&lt;=QUARTILE(Data!Q$4:Q$153,1),1,IF(Data!Q24&lt;=MEDIAN(Data!Q$4:Q$153),2,IF(Data!Q24&lt;=QUARTILE(Data!Q$4:Q$153,3),3,4)))</f>
        <v>2</v>
      </c>
      <c r="R24" s="8">
        <f>IF(Data!R24&lt;=QUARTILE(Data!R$4:R$153,1),1,IF(Data!R24&lt;=MEDIAN(Data!R$4:R$153),2,IF(Data!R24&lt;=QUARTILE(Data!R$4:R$153,3),3,4)))</f>
        <v>4</v>
      </c>
      <c r="S24" s="8">
        <f>IF(Data!S24&lt;=QUARTILE(Data!S$4:S$153,1),1,IF(Data!S24&lt;=MEDIAN(Data!S$4:S$153),2,IF(Data!S24&lt;=QUARTILE(Data!S$4:S$153,3),3,4)))</f>
        <v>1</v>
      </c>
      <c r="T24" s="9">
        <f>IF(Data!T24&lt;=QUARTILE(Data!T$4:T$153,1),1,IF(Data!T24&lt;=MEDIAN(Data!T$4:T$153),2,IF(Data!T24&lt;=QUARTILE(Data!T$4:T$153,3),3,4)))</f>
        <v>2</v>
      </c>
      <c r="U24" s="7">
        <f>IF(Data!U24&lt;=QUARTILE(Data!U$4:U$153,1),1,IF(Data!U24&lt;=MEDIAN(Data!U$4:U$153),2,IF(Data!U24&lt;=QUARTILE(Data!U$4:U$153,3),3,4)))</f>
        <v>4</v>
      </c>
      <c r="V24" s="8">
        <f>IF(Data!V24&lt;=QUARTILE(Data!V$4:V$153,1),1,IF(Data!V24&lt;=MEDIAN(Data!V$4:V$153),2,IF(Data!V24&lt;=QUARTILE(Data!V$4:V$153,3),3,4)))</f>
        <v>4</v>
      </c>
      <c r="W24" s="8">
        <f>IF(Data!W24&lt;=QUARTILE(Data!W$4:W$153,1),1,IF(Data!W24&lt;=MEDIAN(Data!W$4:W$153),2,IF(Data!W24&lt;=QUARTILE(Data!W$4:W$153,3),3,4)))</f>
        <v>3</v>
      </c>
      <c r="X24" s="8">
        <f>IF(Data!X24&lt;=QUARTILE(Data!X$4:X$153,1),1,IF(Data!X24&lt;=MEDIAN(Data!X$4:X$153),2,IF(Data!X24&lt;=QUARTILE(Data!X$4:X$153,3),3,4)))</f>
        <v>3</v>
      </c>
      <c r="Y24" s="8">
        <f>IF(Data!Y24&lt;=QUARTILE(Data!Y$4:Y$153,1),1,IF(Data!Y24&lt;=MEDIAN(Data!Y$4:Y$153),2,IF(Data!Y24&lt;=QUARTILE(Data!Y$4:Y$153,3),3,4)))</f>
        <v>1</v>
      </c>
      <c r="Z24" s="8">
        <f>IF(Data!Z24&lt;=QUARTILE(Data!Z$4:Z$153,1),1,IF(Data!Z24&lt;=MEDIAN(Data!Z$4:Z$153),2,IF(Data!Z24&lt;=QUARTILE(Data!Z$4:Z$153,3),3,4)))</f>
        <v>1</v>
      </c>
      <c r="AA24" s="8">
        <f>IF(Data!AA24&lt;=QUARTILE(Data!AA$4:AA$153,1),1,IF(Data!AA24&lt;=MEDIAN(Data!AA$4:AA$153),2,IF(Data!AA24&lt;=QUARTILE(Data!AA$4:AA$153,3),3,4)))</f>
        <v>2</v>
      </c>
      <c r="AB24" s="8">
        <f>IF(Data!AB24&lt;=QUARTILE(Data!AB$4:AB$153,1),1,IF(Data!AB24&lt;=MEDIAN(Data!AB$4:AB$153),2,IF(Data!AB24&lt;=QUARTILE(Data!AB$4:AB$153,3),3,4)))</f>
        <v>3</v>
      </c>
      <c r="AC24" s="8">
        <f>IF(Data!AC24&lt;=QUARTILE(Data!AC$4:AC$153,1),1,IF(Data!AC24&lt;=MEDIAN(Data!AC$4:AC$153),2,IF(Data!AC24&lt;=QUARTILE(Data!AC$4:AC$153,3),3,4)))</f>
        <v>3</v>
      </c>
      <c r="AD24" s="8">
        <f>IF(Data!AD24&lt;=QUARTILE(Data!AD$4:AD$153,1),1,IF(Data!AD24&lt;=MEDIAN(Data!AD$4:AD$153),2,IF(Data!AD24&lt;=QUARTILE(Data!AD$4:AD$153,3),3,4)))</f>
        <v>4</v>
      </c>
      <c r="AE24" s="8">
        <f>IF(Data!AE24&lt;=QUARTILE(Data!AE$4:AE$153,1),1,IF(Data!AE24&lt;=MEDIAN(Data!AE$4:AE$153),2,IF(Data!AE24&lt;=QUARTILE(Data!AE$4:AE$153,3),3,4)))</f>
        <v>3</v>
      </c>
      <c r="AF24" s="8">
        <f>IF(Data!AF24&lt;=QUARTILE(Data!AF$4:AF$153,1),1,IF(Data!AF24&lt;=MEDIAN(Data!AF$4:AF$153),2,IF(Data!AF24&lt;=QUARTILE(Data!AF$4:AF$153,3),3,4)))</f>
        <v>2</v>
      </c>
      <c r="AG24" s="8">
        <f>IF(Data!AG24&lt;=QUARTILE(Data!AG$4:AG$153,1),1,IF(Data!AG24&lt;=MEDIAN(Data!AG$4:AG$153),2,IF(Data!AG24&lt;=QUARTILE(Data!AG$4:AG$153,3),3,4)))</f>
        <v>1</v>
      </c>
      <c r="AH24" s="9">
        <f>IF(Data!AH24&lt;=QUARTILE(Data!AH$4:AH$153,1),1,IF(Data!AH24&lt;=MEDIAN(Data!AH$4:AH$153),2,IF(Data!AH24&lt;=QUARTILE(Data!AH$4:AH$153,3),3,4)))</f>
        <v>4</v>
      </c>
    </row>
    <row r="25" spans="1:34" x14ac:dyDescent="0.25">
      <c r="A25" s="7" t="s">
        <v>66</v>
      </c>
      <c r="B25" s="14" t="s">
        <v>52</v>
      </c>
      <c r="C25" s="7">
        <v>59</v>
      </c>
      <c r="D25" s="8">
        <v>23</v>
      </c>
      <c r="E25" s="42" t="s">
        <v>58</v>
      </c>
      <c r="F25" s="9">
        <v>6.49</v>
      </c>
      <c r="G25" s="7">
        <f>IF(Data!G25&lt;=QUARTILE(Data!G$4:G$153,1),1,IF(Data!G25&lt;=MEDIAN(Data!G$4:G$153),2,IF(Data!G25&lt;=QUARTILE(Data!G$4:G$153,3),3,4)))</f>
        <v>2</v>
      </c>
      <c r="H25" s="8">
        <f>IF(Data!H25&lt;=QUARTILE(Data!H$4:H$153,1),1,IF(Data!H25&lt;=MEDIAN(Data!H$4:H$153),2,IF(Data!H25&lt;=QUARTILE(Data!H$4:H$153,3),3,4)))</f>
        <v>1</v>
      </c>
      <c r="I25" s="8">
        <f>IF(Data!I25&lt;=QUARTILE(Data!I$4:I$153,1),1,IF(Data!I25&lt;=MEDIAN(Data!I$4:I$153),2,IF(Data!I25&lt;=QUARTILE(Data!I$4:I$153,3),3,4)))</f>
        <v>4</v>
      </c>
      <c r="J25" s="8">
        <f>IF(Data!J25&lt;=QUARTILE(Data!J$4:J$153,1),1,IF(Data!J25&lt;=MEDIAN(Data!J$4:J$153),2,IF(Data!J25&lt;=QUARTILE(Data!J$4:J$153,3),3,4)))</f>
        <v>4</v>
      </c>
      <c r="K25" s="8">
        <f>IF(Data!K25&lt;=QUARTILE(Data!K$4:K$153,1),1,IF(Data!K25&lt;=MEDIAN(Data!K$4:K$153),2,IF(Data!K25&lt;=QUARTILE(Data!K$4:K$153,3),3,4)))</f>
        <v>3</v>
      </c>
      <c r="L25" s="8">
        <f>IF(Data!L25&lt;=QUARTILE(Data!L$4:L$153,1),1,IF(Data!L25&lt;=MEDIAN(Data!L$4:L$153),2,IF(Data!L25&lt;=QUARTILE(Data!L$4:L$153,3),3,4)))</f>
        <v>4</v>
      </c>
      <c r="M25" s="8">
        <f>IF(Data!M25&lt;=QUARTILE(Data!M$4:M$153,1),1,IF(Data!M25&lt;=MEDIAN(Data!M$4:M$153),2,IF(Data!M25&lt;=QUARTILE(Data!M$4:M$153,3),3,4)))</f>
        <v>1</v>
      </c>
      <c r="N25" s="8">
        <f>IF(Data!N25&lt;=QUARTILE(Data!N$4:N$153,1),1,IF(Data!N25&lt;=MEDIAN(Data!N$4:N$153),2,IF(Data!N25&lt;=QUARTILE(Data!N$4:N$153,3),3,4)))</f>
        <v>4</v>
      </c>
      <c r="O25" s="8">
        <f>IF(Data!O25&lt;=QUARTILE(Data!O$4:O$153,1),1,IF(Data!O25&lt;=MEDIAN(Data!O$4:O$153),2,IF(Data!O25&lt;=QUARTILE(Data!O$4:O$153,3),3,4)))</f>
        <v>1</v>
      </c>
      <c r="P25" s="8">
        <f>IF(Data!P25&lt;=QUARTILE(Data!P$4:P$153,1),1,IF(Data!P25&lt;=MEDIAN(Data!P$4:P$153),2,IF(Data!P25&lt;=QUARTILE(Data!P$4:P$153,3),3,4)))</f>
        <v>2</v>
      </c>
      <c r="Q25" s="8">
        <f>IF(Data!Q25&lt;=QUARTILE(Data!Q$4:Q$153,1),1,IF(Data!Q25&lt;=MEDIAN(Data!Q$4:Q$153),2,IF(Data!Q25&lt;=QUARTILE(Data!Q$4:Q$153,3),3,4)))</f>
        <v>4</v>
      </c>
      <c r="R25" s="8">
        <f>IF(Data!R25&lt;=QUARTILE(Data!R$4:R$153,1),1,IF(Data!R25&lt;=MEDIAN(Data!R$4:R$153),2,IF(Data!R25&lt;=QUARTILE(Data!R$4:R$153,3),3,4)))</f>
        <v>2</v>
      </c>
      <c r="S25" s="8">
        <f>IF(Data!S25&lt;=QUARTILE(Data!S$4:S$153,1),1,IF(Data!S25&lt;=MEDIAN(Data!S$4:S$153),2,IF(Data!S25&lt;=QUARTILE(Data!S$4:S$153,3),3,4)))</f>
        <v>1</v>
      </c>
      <c r="T25" s="9">
        <f>IF(Data!T25&lt;=QUARTILE(Data!T$4:T$153,1),1,IF(Data!T25&lt;=MEDIAN(Data!T$4:T$153),2,IF(Data!T25&lt;=QUARTILE(Data!T$4:T$153,3),3,4)))</f>
        <v>4</v>
      </c>
      <c r="U25" s="7">
        <f>IF(Data!U25&lt;=QUARTILE(Data!U$4:U$153,1),1,IF(Data!U25&lt;=MEDIAN(Data!U$4:U$153),2,IF(Data!U25&lt;=QUARTILE(Data!U$4:U$153,3),3,4)))</f>
        <v>2</v>
      </c>
      <c r="V25" s="8">
        <f>IF(Data!V25&lt;=QUARTILE(Data!V$4:V$153,1),1,IF(Data!V25&lt;=MEDIAN(Data!V$4:V$153),2,IF(Data!V25&lt;=QUARTILE(Data!V$4:V$153,3),3,4)))</f>
        <v>4</v>
      </c>
      <c r="W25" s="8">
        <f>IF(Data!W25&lt;=QUARTILE(Data!W$4:W$153,1),1,IF(Data!W25&lt;=MEDIAN(Data!W$4:W$153),2,IF(Data!W25&lt;=QUARTILE(Data!W$4:W$153,3),3,4)))</f>
        <v>1</v>
      </c>
      <c r="X25" s="8">
        <f>IF(Data!X25&lt;=QUARTILE(Data!X$4:X$153,1),1,IF(Data!X25&lt;=MEDIAN(Data!X$4:X$153),2,IF(Data!X25&lt;=QUARTILE(Data!X$4:X$153,3),3,4)))</f>
        <v>2</v>
      </c>
      <c r="Y25" s="8">
        <f>IF(Data!Y25&lt;=QUARTILE(Data!Y$4:Y$153,1),1,IF(Data!Y25&lt;=MEDIAN(Data!Y$4:Y$153),2,IF(Data!Y25&lt;=QUARTILE(Data!Y$4:Y$153,3),3,4)))</f>
        <v>1</v>
      </c>
      <c r="Z25" s="8">
        <f>IF(Data!Z25&lt;=QUARTILE(Data!Z$4:Z$153,1),1,IF(Data!Z25&lt;=MEDIAN(Data!Z$4:Z$153),2,IF(Data!Z25&lt;=QUARTILE(Data!Z$4:Z$153,3),3,4)))</f>
        <v>1</v>
      </c>
      <c r="AA25" s="8">
        <f>IF(Data!AA25&lt;=QUARTILE(Data!AA$4:AA$153,1),1,IF(Data!AA25&lt;=MEDIAN(Data!AA$4:AA$153),2,IF(Data!AA25&lt;=QUARTILE(Data!AA$4:AA$153,3),3,4)))</f>
        <v>1</v>
      </c>
      <c r="AB25" s="8">
        <f>IF(Data!AB25&lt;=QUARTILE(Data!AB$4:AB$153,1),1,IF(Data!AB25&lt;=MEDIAN(Data!AB$4:AB$153),2,IF(Data!AB25&lt;=QUARTILE(Data!AB$4:AB$153,3),3,4)))</f>
        <v>4</v>
      </c>
      <c r="AC25" s="8">
        <f>IF(Data!AC25&lt;=QUARTILE(Data!AC$4:AC$153,1),1,IF(Data!AC25&lt;=MEDIAN(Data!AC$4:AC$153),2,IF(Data!AC25&lt;=QUARTILE(Data!AC$4:AC$153,3),3,4)))</f>
        <v>1</v>
      </c>
      <c r="AD25" s="8">
        <f>IF(Data!AD25&lt;=QUARTILE(Data!AD$4:AD$153,1),1,IF(Data!AD25&lt;=MEDIAN(Data!AD$4:AD$153),2,IF(Data!AD25&lt;=QUARTILE(Data!AD$4:AD$153,3),3,4)))</f>
        <v>1</v>
      </c>
      <c r="AE25" s="8">
        <f>IF(Data!AE25&lt;=QUARTILE(Data!AE$4:AE$153,1),1,IF(Data!AE25&lt;=MEDIAN(Data!AE$4:AE$153),2,IF(Data!AE25&lt;=QUARTILE(Data!AE$4:AE$153,3),3,4)))</f>
        <v>1</v>
      </c>
      <c r="AF25" s="8">
        <f>IF(Data!AF25&lt;=QUARTILE(Data!AF$4:AF$153,1),1,IF(Data!AF25&lt;=MEDIAN(Data!AF$4:AF$153),2,IF(Data!AF25&lt;=QUARTILE(Data!AF$4:AF$153,3),3,4)))</f>
        <v>1</v>
      </c>
      <c r="AG25" s="8">
        <f>IF(Data!AG25&lt;=QUARTILE(Data!AG$4:AG$153,1),1,IF(Data!AG25&lt;=MEDIAN(Data!AG$4:AG$153),2,IF(Data!AG25&lt;=QUARTILE(Data!AG$4:AG$153,3),3,4)))</f>
        <v>3</v>
      </c>
      <c r="AH25" s="9">
        <f>IF(Data!AH25&lt;=QUARTILE(Data!AH$4:AH$153,1),1,IF(Data!AH25&lt;=MEDIAN(Data!AH$4:AH$153),2,IF(Data!AH25&lt;=QUARTILE(Data!AH$4:AH$153,3),3,4)))</f>
        <v>1</v>
      </c>
    </row>
    <row r="26" spans="1:34" x14ac:dyDescent="0.25">
      <c r="A26" s="7" t="s">
        <v>63</v>
      </c>
      <c r="B26" s="14" t="s">
        <v>52</v>
      </c>
      <c r="C26" s="7">
        <v>41</v>
      </c>
      <c r="D26" s="8">
        <v>41</v>
      </c>
      <c r="E26" s="42" t="s">
        <v>58</v>
      </c>
      <c r="F26" s="9">
        <v>0.16</v>
      </c>
      <c r="G26" s="7">
        <f>IF(Data!G26&lt;=QUARTILE(Data!G$4:G$153,1),1,IF(Data!G26&lt;=MEDIAN(Data!G$4:G$153),2,IF(Data!G26&lt;=QUARTILE(Data!G$4:G$153,3),3,4)))</f>
        <v>3</v>
      </c>
      <c r="H26" s="8">
        <f>IF(Data!H26&lt;=QUARTILE(Data!H$4:H$153,1),1,IF(Data!H26&lt;=MEDIAN(Data!H$4:H$153),2,IF(Data!H26&lt;=QUARTILE(Data!H$4:H$153,3),3,4)))</f>
        <v>2</v>
      </c>
      <c r="I26" s="8">
        <f>IF(Data!I26&lt;=QUARTILE(Data!I$4:I$153,1),1,IF(Data!I26&lt;=MEDIAN(Data!I$4:I$153),2,IF(Data!I26&lt;=QUARTILE(Data!I$4:I$153,3),3,4)))</f>
        <v>1</v>
      </c>
      <c r="J26" s="8">
        <f>IF(Data!J26&lt;=QUARTILE(Data!J$4:J$153,1),1,IF(Data!J26&lt;=MEDIAN(Data!J$4:J$153),2,IF(Data!J26&lt;=QUARTILE(Data!J$4:J$153,3),3,4)))</f>
        <v>1</v>
      </c>
      <c r="K26" s="8">
        <f>IF(Data!K26&lt;=QUARTILE(Data!K$4:K$153,1),1,IF(Data!K26&lt;=MEDIAN(Data!K$4:K$153),2,IF(Data!K26&lt;=QUARTILE(Data!K$4:K$153,3),3,4)))</f>
        <v>3</v>
      </c>
      <c r="L26" s="8">
        <f>IF(Data!L26&lt;=QUARTILE(Data!L$4:L$153,1),1,IF(Data!L26&lt;=MEDIAN(Data!L$4:L$153),2,IF(Data!L26&lt;=QUARTILE(Data!L$4:L$153,3),3,4)))</f>
        <v>3</v>
      </c>
      <c r="M26" s="8">
        <f>IF(Data!M26&lt;=QUARTILE(Data!M$4:M$153,1),1,IF(Data!M26&lt;=MEDIAN(Data!M$4:M$153),2,IF(Data!M26&lt;=QUARTILE(Data!M$4:M$153,3),3,4)))</f>
        <v>4</v>
      </c>
      <c r="N26" s="8">
        <f>IF(Data!N26&lt;=QUARTILE(Data!N$4:N$153,1),1,IF(Data!N26&lt;=MEDIAN(Data!N$4:N$153),2,IF(Data!N26&lt;=QUARTILE(Data!N$4:N$153,3),3,4)))</f>
        <v>1</v>
      </c>
      <c r="O26" s="8">
        <f>IF(Data!O26&lt;=QUARTILE(Data!O$4:O$153,1),1,IF(Data!O26&lt;=MEDIAN(Data!O$4:O$153),2,IF(Data!O26&lt;=QUARTILE(Data!O$4:O$153,3),3,4)))</f>
        <v>2</v>
      </c>
      <c r="P26" s="8">
        <f>IF(Data!P26&lt;=QUARTILE(Data!P$4:P$153,1),1,IF(Data!P26&lt;=MEDIAN(Data!P$4:P$153),2,IF(Data!P26&lt;=QUARTILE(Data!P$4:P$153,3),3,4)))</f>
        <v>4</v>
      </c>
      <c r="Q26" s="8">
        <f>IF(Data!Q26&lt;=QUARTILE(Data!Q$4:Q$153,1),1,IF(Data!Q26&lt;=MEDIAN(Data!Q$4:Q$153),2,IF(Data!Q26&lt;=QUARTILE(Data!Q$4:Q$153,3),3,4)))</f>
        <v>3</v>
      </c>
      <c r="R26" s="8">
        <f>IF(Data!R26&lt;=QUARTILE(Data!R$4:R$153,1),1,IF(Data!R26&lt;=MEDIAN(Data!R$4:R$153),2,IF(Data!R26&lt;=QUARTILE(Data!R$4:R$153,3),3,4)))</f>
        <v>2</v>
      </c>
      <c r="S26" s="8">
        <f>IF(Data!S26&lt;=QUARTILE(Data!S$4:S$153,1),1,IF(Data!S26&lt;=MEDIAN(Data!S$4:S$153),2,IF(Data!S26&lt;=QUARTILE(Data!S$4:S$153,3),3,4)))</f>
        <v>1</v>
      </c>
      <c r="T26" s="9">
        <f>IF(Data!T26&lt;=QUARTILE(Data!T$4:T$153,1),1,IF(Data!T26&lt;=MEDIAN(Data!T$4:T$153),2,IF(Data!T26&lt;=QUARTILE(Data!T$4:T$153,3),3,4)))</f>
        <v>2</v>
      </c>
      <c r="U26" s="7">
        <f>IF(Data!U26&lt;=QUARTILE(Data!U$4:U$153,1),1,IF(Data!U26&lt;=MEDIAN(Data!U$4:U$153),2,IF(Data!U26&lt;=QUARTILE(Data!U$4:U$153,3),3,4)))</f>
        <v>3</v>
      </c>
      <c r="V26" s="8">
        <f>IF(Data!V26&lt;=QUARTILE(Data!V$4:V$153,1),1,IF(Data!V26&lt;=MEDIAN(Data!V$4:V$153),2,IF(Data!V26&lt;=QUARTILE(Data!V$4:V$153,3),3,4)))</f>
        <v>2</v>
      </c>
      <c r="W26" s="8">
        <f>IF(Data!W26&lt;=QUARTILE(Data!W$4:W$153,1),1,IF(Data!W26&lt;=MEDIAN(Data!W$4:W$153),2,IF(Data!W26&lt;=QUARTILE(Data!W$4:W$153,3),3,4)))</f>
        <v>4</v>
      </c>
      <c r="X26" s="8">
        <f>IF(Data!X26&lt;=QUARTILE(Data!X$4:X$153,1),1,IF(Data!X26&lt;=MEDIAN(Data!X$4:X$153),2,IF(Data!X26&lt;=QUARTILE(Data!X$4:X$153,3),3,4)))</f>
        <v>4</v>
      </c>
      <c r="Y26" s="8">
        <f>IF(Data!Y26&lt;=QUARTILE(Data!Y$4:Y$153,1),1,IF(Data!Y26&lt;=MEDIAN(Data!Y$4:Y$153),2,IF(Data!Y26&lt;=QUARTILE(Data!Y$4:Y$153,3),3,4)))</f>
        <v>1</v>
      </c>
      <c r="Z26" s="8">
        <f>IF(Data!Z26&lt;=QUARTILE(Data!Z$4:Z$153,1),1,IF(Data!Z26&lt;=MEDIAN(Data!Z$4:Z$153),2,IF(Data!Z26&lt;=QUARTILE(Data!Z$4:Z$153,3),3,4)))</f>
        <v>1</v>
      </c>
      <c r="AA26" s="8">
        <f>IF(Data!AA26&lt;=QUARTILE(Data!AA$4:AA$153,1),1,IF(Data!AA26&lt;=MEDIAN(Data!AA$4:AA$153),2,IF(Data!AA26&lt;=QUARTILE(Data!AA$4:AA$153,3),3,4)))</f>
        <v>3</v>
      </c>
      <c r="AB26" s="8">
        <f>IF(Data!AB26&lt;=QUARTILE(Data!AB$4:AB$153,1),1,IF(Data!AB26&lt;=MEDIAN(Data!AB$4:AB$153),2,IF(Data!AB26&lt;=QUARTILE(Data!AB$4:AB$153,3),3,4)))</f>
        <v>1</v>
      </c>
      <c r="AC26" s="8">
        <f>IF(Data!AC26&lt;=QUARTILE(Data!AC$4:AC$153,1),1,IF(Data!AC26&lt;=MEDIAN(Data!AC$4:AC$153),2,IF(Data!AC26&lt;=QUARTILE(Data!AC$4:AC$153,3),3,4)))</f>
        <v>3</v>
      </c>
      <c r="AD26" s="8">
        <f>IF(Data!AD26&lt;=QUARTILE(Data!AD$4:AD$153,1),1,IF(Data!AD26&lt;=MEDIAN(Data!AD$4:AD$153),2,IF(Data!AD26&lt;=QUARTILE(Data!AD$4:AD$153,3),3,4)))</f>
        <v>2</v>
      </c>
      <c r="AE26" s="8">
        <f>IF(Data!AE26&lt;=QUARTILE(Data!AE$4:AE$153,1),1,IF(Data!AE26&lt;=MEDIAN(Data!AE$4:AE$153),2,IF(Data!AE26&lt;=QUARTILE(Data!AE$4:AE$153,3),3,4)))</f>
        <v>3</v>
      </c>
      <c r="AF26" s="8">
        <f>IF(Data!AF26&lt;=QUARTILE(Data!AF$4:AF$153,1),1,IF(Data!AF26&lt;=MEDIAN(Data!AF$4:AF$153),2,IF(Data!AF26&lt;=QUARTILE(Data!AF$4:AF$153,3),3,4)))</f>
        <v>4</v>
      </c>
      <c r="AG26" s="8">
        <f>IF(Data!AG26&lt;=QUARTILE(Data!AG$4:AG$153,1),1,IF(Data!AG26&lt;=MEDIAN(Data!AG$4:AG$153),2,IF(Data!AG26&lt;=QUARTILE(Data!AG$4:AG$153,3),3,4)))</f>
        <v>2</v>
      </c>
      <c r="AH26" s="9">
        <f>IF(Data!AH26&lt;=QUARTILE(Data!AH$4:AH$153,1),1,IF(Data!AH26&lt;=MEDIAN(Data!AH$4:AH$153),2,IF(Data!AH26&lt;=QUARTILE(Data!AH$4:AH$153,3),3,4)))</f>
        <v>2</v>
      </c>
    </row>
    <row r="27" spans="1:34" x14ac:dyDescent="0.25">
      <c r="A27" s="7" t="s">
        <v>16</v>
      </c>
      <c r="B27" s="14" t="s">
        <v>52</v>
      </c>
      <c r="C27" s="7">
        <v>46</v>
      </c>
      <c r="D27" s="8">
        <v>36</v>
      </c>
      <c r="E27" s="42" t="s">
        <v>59</v>
      </c>
      <c r="F27" s="9">
        <v>1.62</v>
      </c>
      <c r="G27" s="7">
        <f>IF(Data!G27&lt;=QUARTILE(Data!G$4:G$153,1),1,IF(Data!G27&lt;=MEDIAN(Data!G$4:G$153),2,IF(Data!G27&lt;=QUARTILE(Data!G$4:G$153,3),3,4)))</f>
        <v>4</v>
      </c>
      <c r="H27" s="8">
        <f>IF(Data!H27&lt;=QUARTILE(Data!H$4:H$153,1),1,IF(Data!H27&lt;=MEDIAN(Data!H$4:H$153),2,IF(Data!H27&lt;=QUARTILE(Data!H$4:H$153,3),3,4)))</f>
        <v>3</v>
      </c>
      <c r="I27" s="8">
        <f>IF(Data!I27&lt;=QUARTILE(Data!I$4:I$153,1),1,IF(Data!I27&lt;=MEDIAN(Data!I$4:I$153),2,IF(Data!I27&lt;=QUARTILE(Data!I$4:I$153,3),3,4)))</f>
        <v>3</v>
      </c>
      <c r="J27" s="8">
        <f>IF(Data!J27&lt;=QUARTILE(Data!J$4:J$153,1),1,IF(Data!J27&lt;=MEDIAN(Data!J$4:J$153),2,IF(Data!J27&lt;=QUARTILE(Data!J$4:J$153,3),3,4)))</f>
        <v>3</v>
      </c>
      <c r="K27" s="8">
        <f>IF(Data!K27&lt;=QUARTILE(Data!K$4:K$153,1),1,IF(Data!K27&lt;=MEDIAN(Data!K$4:K$153),2,IF(Data!K27&lt;=QUARTILE(Data!K$4:K$153,3),3,4)))</f>
        <v>3</v>
      </c>
      <c r="L27" s="8">
        <f>IF(Data!L27&lt;=QUARTILE(Data!L$4:L$153,1),1,IF(Data!L27&lt;=MEDIAN(Data!L$4:L$153),2,IF(Data!L27&lt;=QUARTILE(Data!L$4:L$153,3),3,4)))</f>
        <v>4</v>
      </c>
      <c r="M27" s="8">
        <f>IF(Data!M27&lt;=QUARTILE(Data!M$4:M$153,1),1,IF(Data!M27&lt;=MEDIAN(Data!M$4:M$153),2,IF(Data!M27&lt;=QUARTILE(Data!M$4:M$153,3),3,4)))</f>
        <v>2</v>
      </c>
      <c r="N27" s="8">
        <f>IF(Data!N27&lt;=QUARTILE(Data!N$4:N$153,1),1,IF(Data!N27&lt;=MEDIAN(Data!N$4:N$153),2,IF(Data!N27&lt;=QUARTILE(Data!N$4:N$153,3),3,4)))</f>
        <v>3</v>
      </c>
      <c r="O27" s="8">
        <f>IF(Data!O27&lt;=QUARTILE(Data!O$4:O$153,1),1,IF(Data!O27&lt;=MEDIAN(Data!O$4:O$153),2,IF(Data!O27&lt;=QUARTILE(Data!O$4:O$153,3),3,4)))</f>
        <v>4</v>
      </c>
      <c r="P27" s="8">
        <f>IF(Data!P27&lt;=QUARTILE(Data!P$4:P$153,1),1,IF(Data!P27&lt;=MEDIAN(Data!P$4:P$153),2,IF(Data!P27&lt;=QUARTILE(Data!P$4:P$153,3),3,4)))</f>
        <v>2</v>
      </c>
      <c r="Q27" s="8">
        <f>IF(Data!Q27&lt;=QUARTILE(Data!Q$4:Q$153,1),1,IF(Data!Q27&lt;=MEDIAN(Data!Q$4:Q$153),2,IF(Data!Q27&lt;=QUARTILE(Data!Q$4:Q$153,3),3,4)))</f>
        <v>3</v>
      </c>
      <c r="R27" s="8">
        <f>IF(Data!R27&lt;=QUARTILE(Data!R$4:R$153,1),1,IF(Data!R27&lt;=MEDIAN(Data!R$4:R$153),2,IF(Data!R27&lt;=QUARTILE(Data!R$4:R$153,3),3,4)))</f>
        <v>4</v>
      </c>
      <c r="S27" s="8">
        <f>IF(Data!S27&lt;=QUARTILE(Data!S$4:S$153,1),1,IF(Data!S27&lt;=MEDIAN(Data!S$4:S$153),2,IF(Data!S27&lt;=QUARTILE(Data!S$4:S$153,3),3,4)))</f>
        <v>2</v>
      </c>
      <c r="T27" s="9">
        <f>IF(Data!T27&lt;=QUARTILE(Data!T$4:T$153,1),1,IF(Data!T27&lt;=MEDIAN(Data!T$4:T$153),2,IF(Data!T27&lt;=QUARTILE(Data!T$4:T$153,3),3,4)))</f>
        <v>4</v>
      </c>
      <c r="U27" s="7">
        <f>IF(Data!U27&lt;=QUARTILE(Data!U$4:U$153,1),1,IF(Data!U27&lt;=MEDIAN(Data!U$4:U$153),2,IF(Data!U27&lt;=QUARTILE(Data!U$4:U$153,3),3,4)))</f>
        <v>4</v>
      </c>
      <c r="V27" s="8">
        <f>IF(Data!V27&lt;=QUARTILE(Data!V$4:V$153,1),1,IF(Data!V27&lt;=MEDIAN(Data!V$4:V$153),2,IF(Data!V27&lt;=QUARTILE(Data!V$4:V$153,3),3,4)))</f>
        <v>4</v>
      </c>
      <c r="W27" s="8">
        <f>IF(Data!W27&lt;=QUARTILE(Data!W$4:W$153,1),1,IF(Data!W27&lt;=MEDIAN(Data!W$4:W$153),2,IF(Data!W27&lt;=QUARTILE(Data!W$4:W$153,3),3,4)))</f>
        <v>4</v>
      </c>
      <c r="X27" s="8">
        <f>IF(Data!X27&lt;=QUARTILE(Data!X$4:X$153,1),1,IF(Data!X27&lt;=MEDIAN(Data!X$4:X$153),2,IF(Data!X27&lt;=QUARTILE(Data!X$4:X$153,3),3,4)))</f>
        <v>4</v>
      </c>
      <c r="Y27" s="8">
        <f>IF(Data!Y27&lt;=QUARTILE(Data!Y$4:Y$153,1),1,IF(Data!Y27&lt;=MEDIAN(Data!Y$4:Y$153),2,IF(Data!Y27&lt;=QUARTILE(Data!Y$4:Y$153,3),3,4)))</f>
        <v>3</v>
      </c>
      <c r="Z27" s="8">
        <f>IF(Data!Z27&lt;=QUARTILE(Data!Z$4:Z$153,1),1,IF(Data!Z27&lt;=MEDIAN(Data!Z$4:Z$153),2,IF(Data!Z27&lt;=QUARTILE(Data!Z$4:Z$153,3),3,4)))</f>
        <v>2</v>
      </c>
      <c r="AA27" s="8">
        <f>IF(Data!AA27&lt;=QUARTILE(Data!AA$4:AA$153,1),1,IF(Data!AA27&lt;=MEDIAN(Data!AA$4:AA$153),2,IF(Data!AA27&lt;=QUARTILE(Data!AA$4:AA$153,3),3,4)))</f>
        <v>4</v>
      </c>
      <c r="AB27" s="8">
        <f>IF(Data!AB27&lt;=QUARTILE(Data!AB$4:AB$153,1),1,IF(Data!AB27&lt;=MEDIAN(Data!AB$4:AB$153),2,IF(Data!AB27&lt;=QUARTILE(Data!AB$4:AB$153,3),3,4)))</f>
        <v>1</v>
      </c>
      <c r="AC27" s="8">
        <f>IF(Data!AC27&lt;=QUARTILE(Data!AC$4:AC$153,1),1,IF(Data!AC27&lt;=MEDIAN(Data!AC$4:AC$153),2,IF(Data!AC27&lt;=QUARTILE(Data!AC$4:AC$153,3),3,4)))</f>
        <v>3</v>
      </c>
      <c r="AD27" s="8">
        <f>IF(Data!AD27&lt;=QUARTILE(Data!AD$4:AD$153,1),1,IF(Data!AD27&lt;=MEDIAN(Data!AD$4:AD$153),2,IF(Data!AD27&lt;=QUARTILE(Data!AD$4:AD$153,3),3,4)))</f>
        <v>4</v>
      </c>
      <c r="AE27" s="8">
        <f>IF(Data!AE27&lt;=QUARTILE(Data!AE$4:AE$153,1),1,IF(Data!AE27&lt;=MEDIAN(Data!AE$4:AE$153),2,IF(Data!AE27&lt;=QUARTILE(Data!AE$4:AE$153,3),3,4)))</f>
        <v>2</v>
      </c>
      <c r="AF27" s="8">
        <f>IF(Data!AF27&lt;=QUARTILE(Data!AF$4:AF$153,1),1,IF(Data!AF27&lt;=MEDIAN(Data!AF$4:AF$153),2,IF(Data!AF27&lt;=QUARTILE(Data!AF$4:AF$153,3),3,4)))</f>
        <v>2</v>
      </c>
      <c r="AG27" s="8">
        <f>IF(Data!AG27&lt;=QUARTILE(Data!AG$4:AG$153,1),1,IF(Data!AG27&lt;=MEDIAN(Data!AG$4:AG$153),2,IF(Data!AG27&lt;=QUARTILE(Data!AG$4:AG$153,3),3,4)))</f>
        <v>3</v>
      </c>
      <c r="AH27" s="9">
        <f>IF(Data!AH27&lt;=QUARTILE(Data!AH$4:AH$153,1),1,IF(Data!AH27&lt;=MEDIAN(Data!AH$4:AH$153),2,IF(Data!AH27&lt;=QUARTILE(Data!AH$4:AH$153,3),3,4)))</f>
        <v>4</v>
      </c>
    </row>
    <row r="28" spans="1:34" x14ac:dyDescent="0.25">
      <c r="A28" s="7" t="s">
        <v>55</v>
      </c>
      <c r="B28" s="14" t="s">
        <v>52</v>
      </c>
      <c r="C28" s="7">
        <v>54</v>
      </c>
      <c r="D28" s="8">
        <v>28</v>
      </c>
      <c r="E28" s="42" t="s">
        <v>58</v>
      </c>
      <c r="F28" s="9">
        <v>5</v>
      </c>
      <c r="G28" s="7">
        <f>IF(Data!G28&lt;=QUARTILE(Data!G$4:G$153,1),1,IF(Data!G28&lt;=MEDIAN(Data!G$4:G$153),2,IF(Data!G28&lt;=QUARTILE(Data!G$4:G$153,3),3,4)))</f>
        <v>3</v>
      </c>
      <c r="H28" s="8">
        <f>IF(Data!H28&lt;=QUARTILE(Data!H$4:H$153,1),1,IF(Data!H28&lt;=MEDIAN(Data!H$4:H$153),2,IF(Data!H28&lt;=QUARTILE(Data!H$4:H$153,3),3,4)))</f>
        <v>2</v>
      </c>
      <c r="I28" s="8">
        <f>IF(Data!I28&lt;=QUARTILE(Data!I$4:I$153,1),1,IF(Data!I28&lt;=MEDIAN(Data!I$4:I$153),2,IF(Data!I28&lt;=QUARTILE(Data!I$4:I$153,3),3,4)))</f>
        <v>4</v>
      </c>
      <c r="J28" s="8">
        <f>IF(Data!J28&lt;=QUARTILE(Data!J$4:J$153,1),1,IF(Data!J28&lt;=MEDIAN(Data!J$4:J$153),2,IF(Data!J28&lt;=QUARTILE(Data!J$4:J$153,3),3,4)))</f>
        <v>3</v>
      </c>
      <c r="K28" s="8">
        <f>IF(Data!K28&lt;=QUARTILE(Data!K$4:K$153,1),1,IF(Data!K28&lt;=MEDIAN(Data!K$4:K$153),2,IF(Data!K28&lt;=QUARTILE(Data!K$4:K$153,3),3,4)))</f>
        <v>2</v>
      </c>
      <c r="L28" s="8">
        <f>IF(Data!L28&lt;=QUARTILE(Data!L$4:L$153,1),1,IF(Data!L28&lt;=MEDIAN(Data!L$4:L$153),2,IF(Data!L28&lt;=QUARTILE(Data!L$4:L$153,3),3,4)))</f>
        <v>2</v>
      </c>
      <c r="M28" s="8">
        <f>IF(Data!M28&lt;=QUARTILE(Data!M$4:M$153,1),1,IF(Data!M28&lt;=MEDIAN(Data!M$4:M$153),2,IF(Data!M28&lt;=QUARTILE(Data!M$4:M$153,3),3,4)))</f>
        <v>4</v>
      </c>
      <c r="N28" s="8">
        <f>IF(Data!N28&lt;=QUARTILE(Data!N$4:N$153,1),1,IF(Data!N28&lt;=MEDIAN(Data!N$4:N$153),2,IF(Data!N28&lt;=QUARTILE(Data!N$4:N$153,3),3,4)))</f>
        <v>1</v>
      </c>
      <c r="O28" s="8">
        <f>IF(Data!O28&lt;=QUARTILE(Data!O$4:O$153,1),1,IF(Data!O28&lt;=MEDIAN(Data!O$4:O$153),2,IF(Data!O28&lt;=QUARTILE(Data!O$4:O$153,3),3,4)))</f>
        <v>2</v>
      </c>
      <c r="P28" s="8">
        <f>IF(Data!P28&lt;=QUARTILE(Data!P$4:P$153,1),1,IF(Data!P28&lt;=MEDIAN(Data!P$4:P$153),2,IF(Data!P28&lt;=QUARTILE(Data!P$4:P$153,3),3,4)))</f>
        <v>1</v>
      </c>
      <c r="Q28" s="8">
        <f>IF(Data!Q28&lt;=QUARTILE(Data!Q$4:Q$153,1),1,IF(Data!Q28&lt;=MEDIAN(Data!Q$4:Q$153),2,IF(Data!Q28&lt;=QUARTILE(Data!Q$4:Q$153,3),3,4)))</f>
        <v>3</v>
      </c>
      <c r="R28" s="8">
        <f>IF(Data!R28&lt;=QUARTILE(Data!R$4:R$153,1),1,IF(Data!R28&lt;=MEDIAN(Data!R$4:R$153),2,IF(Data!R28&lt;=QUARTILE(Data!R$4:R$153,3),3,4)))</f>
        <v>1</v>
      </c>
      <c r="S28" s="8">
        <f>IF(Data!S28&lt;=QUARTILE(Data!S$4:S$153,1),1,IF(Data!S28&lt;=MEDIAN(Data!S$4:S$153),2,IF(Data!S28&lt;=QUARTILE(Data!S$4:S$153,3),3,4)))</f>
        <v>1</v>
      </c>
      <c r="T28" s="9">
        <f>IF(Data!T28&lt;=QUARTILE(Data!T$4:T$153,1),1,IF(Data!T28&lt;=MEDIAN(Data!T$4:T$153),2,IF(Data!T28&lt;=QUARTILE(Data!T$4:T$153,3),3,4)))</f>
        <v>3</v>
      </c>
      <c r="U28" s="7">
        <f>IF(Data!U28&lt;=QUARTILE(Data!U$4:U$153,1),1,IF(Data!U28&lt;=MEDIAN(Data!U$4:U$153),2,IF(Data!U28&lt;=QUARTILE(Data!U$4:U$153,3),3,4)))</f>
        <v>2</v>
      </c>
      <c r="V28" s="8">
        <f>IF(Data!V28&lt;=QUARTILE(Data!V$4:V$153,1),1,IF(Data!V28&lt;=MEDIAN(Data!V$4:V$153),2,IF(Data!V28&lt;=QUARTILE(Data!V$4:V$153,3),3,4)))</f>
        <v>1</v>
      </c>
      <c r="W28" s="8">
        <f>IF(Data!W28&lt;=QUARTILE(Data!W$4:W$153,1),1,IF(Data!W28&lt;=MEDIAN(Data!W$4:W$153),2,IF(Data!W28&lt;=QUARTILE(Data!W$4:W$153,3),3,4)))</f>
        <v>2</v>
      </c>
      <c r="X28" s="8">
        <f>IF(Data!X28&lt;=QUARTILE(Data!X$4:X$153,1),1,IF(Data!X28&lt;=MEDIAN(Data!X$4:X$153),2,IF(Data!X28&lt;=QUARTILE(Data!X$4:X$153,3),3,4)))</f>
        <v>2</v>
      </c>
      <c r="Y28" s="8">
        <f>IF(Data!Y28&lt;=QUARTILE(Data!Y$4:Y$153,1),1,IF(Data!Y28&lt;=MEDIAN(Data!Y$4:Y$153),2,IF(Data!Y28&lt;=QUARTILE(Data!Y$4:Y$153,3),3,4)))</f>
        <v>1</v>
      </c>
      <c r="Z28" s="8">
        <f>IF(Data!Z28&lt;=QUARTILE(Data!Z$4:Z$153,1),1,IF(Data!Z28&lt;=MEDIAN(Data!Z$4:Z$153),2,IF(Data!Z28&lt;=QUARTILE(Data!Z$4:Z$153,3),3,4)))</f>
        <v>1</v>
      </c>
      <c r="AA28" s="8">
        <f>IF(Data!AA28&lt;=QUARTILE(Data!AA$4:AA$153,1),1,IF(Data!AA28&lt;=MEDIAN(Data!AA$4:AA$153),2,IF(Data!AA28&lt;=QUARTILE(Data!AA$4:AA$153,3),3,4)))</f>
        <v>1</v>
      </c>
      <c r="AB28" s="8">
        <f>IF(Data!AB28&lt;=QUARTILE(Data!AB$4:AB$153,1),1,IF(Data!AB28&lt;=MEDIAN(Data!AB$4:AB$153),2,IF(Data!AB28&lt;=QUARTILE(Data!AB$4:AB$153,3),3,4)))</f>
        <v>1</v>
      </c>
      <c r="AC28" s="8">
        <f>IF(Data!AC28&lt;=QUARTILE(Data!AC$4:AC$153,1),1,IF(Data!AC28&lt;=MEDIAN(Data!AC$4:AC$153),2,IF(Data!AC28&lt;=QUARTILE(Data!AC$4:AC$153,3),3,4)))</f>
        <v>1</v>
      </c>
      <c r="AD28" s="8">
        <f>IF(Data!AD28&lt;=QUARTILE(Data!AD$4:AD$153,1),1,IF(Data!AD28&lt;=MEDIAN(Data!AD$4:AD$153),2,IF(Data!AD28&lt;=QUARTILE(Data!AD$4:AD$153,3),3,4)))</f>
        <v>1</v>
      </c>
      <c r="AE28" s="8">
        <f>IF(Data!AE28&lt;=QUARTILE(Data!AE$4:AE$153,1),1,IF(Data!AE28&lt;=MEDIAN(Data!AE$4:AE$153),2,IF(Data!AE28&lt;=QUARTILE(Data!AE$4:AE$153,3),3,4)))</f>
        <v>1</v>
      </c>
      <c r="AF28" s="8">
        <f>IF(Data!AF28&lt;=QUARTILE(Data!AF$4:AF$153,1),1,IF(Data!AF28&lt;=MEDIAN(Data!AF$4:AF$153),2,IF(Data!AF28&lt;=QUARTILE(Data!AF$4:AF$153,3),3,4)))</f>
        <v>1</v>
      </c>
      <c r="AG28" s="8">
        <f>IF(Data!AG28&lt;=QUARTILE(Data!AG$4:AG$153,1),1,IF(Data!AG28&lt;=MEDIAN(Data!AG$4:AG$153),2,IF(Data!AG28&lt;=QUARTILE(Data!AG$4:AG$153,3),3,4)))</f>
        <v>2</v>
      </c>
      <c r="AH28" s="9">
        <f>IF(Data!AH28&lt;=QUARTILE(Data!AH$4:AH$153,1),1,IF(Data!AH28&lt;=MEDIAN(Data!AH$4:AH$153),2,IF(Data!AH28&lt;=QUARTILE(Data!AH$4:AH$153,3),3,4)))</f>
        <v>1</v>
      </c>
    </row>
    <row r="29" spans="1:34" x14ac:dyDescent="0.25">
      <c r="A29" s="7" t="s">
        <v>20</v>
      </c>
      <c r="B29" s="14" t="s">
        <v>52</v>
      </c>
      <c r="C29" s="7">
        <v>17</v>
      </c>
      <c r="D29" s="8">
        <v>65</v>
      </c>
      <c r="E29" s="42" t="s">
        <v>59</v>
      </c>
      <c r="F29" s="9">
        <v>-8.59</v>
      </c>
      <c r="G29" s="7">
        <f>IF(Data!G29&lt;=QUARTILE(Data!G$4:G$153,1),1,IF(Data!G29&lt;=MEDIAN(Data!G$4:G$153),2,IF(Data!G29&lt;=QUARTILE(Data!G$4:G$153,3),3,4)))</f>
        <v>3</v>
      </c>
      <c r="H29" s="8">
        <f>IF(Data!H29&lt;=QUARTILE(Data!H$4:H$153,1),1,IF(Data!H29&lt;=MEDIAN(Data!H$4:H$153),2,IF(Data!H29&lt;=QUARTILE(Data!H$4:H$153,3),3,4)))</f>
        <v>3</v>
      </c>
      <c r="I29" s="8">
        <f>IF(Data!I29&lt;=QUARTILE(Data!I$4:I$153,1),1,IF(Data!I29&lt;=MEDIAN(Data!I$4:I$153),2,IF(Data!I29&lt;=QUARTILE(Data!I$4:I$153,3),3,4)))</f>
        <v>4</v>
      </c>
      <c r="J29" s="8">
        <f>IF(Data!J29&lt;=QUARTILE(Data!J$4:J$153,1),1,IF(Data!J29&lt;=MEDIAN(Data!J$4:J$153),2,IF(Data!J29&lt;=QUARTILE(Data!J$4:J$153,3),3,4)))</f>
        <v>4</v>
      </c>
      <c r="K29" s="8">
        <f>IF(Data!K29&lt;=QUARTILE(Data!K$4:K$153,1),1,IF(Data!K29&lt;=MEDIAN(Data!K$4:K$153),2,IF(Data!K29&lt;=QUARTILE(Data!K$4:K$153,3),3,4)))</f>
        <v>4</v>
      </c>
      <c r="L29" s="8">
        <f>IF(Data!L29&lt;=QUARTILE(Data!L$4:L$153,1),1,IF(Data!L29&lt;=MEDIAN(Data!L$4:L$153),2,IF(Data!L29&lt;=QUARTILE(Data!L$4:L$153,3),3,4)))</f>
        <v>3</v>
      </c>
      <c r="M29" s="8">
        <f>IF(Data!M29&lt;=QUARTILE(Data!M$4:M$153,1),1,IF(Data!M29&lt;=MEDIAN(Data!M$4:M$153),2,IF(Data!M29&lt;=QUARTILE(Data!M$4:M$153,3),3,4)))</f>
        <v>1</v>
      </c>
      <c r="N29" s="8">
        <f>IF(Data!N29&lt;=QUARTILE(Data!N$4:N$153,1),1,IF(Data!N29&lt;=MEDIAN(Data!N$4:N$153),2,IF(Data!N29&lt;=QUARTILE(Data!N$4:N$153,3),3,4)))</f>
        <v>1</v>
      </c>
      <c r="O29" s="8">
        <f>IF(Data!O29&lt;=QUARTILE(Data!O$4:O$153,1),1,IF(Data!O29&lt;=MEDIAN(Data!O$4:O$153),2,IF(Data!O29&lt;=QUARTILE(Data!O$4:O$153,3),3,4)))</f>
        <v>1</v>
      </c>
      <c r="P29" s="8">
        <f>IF(Data!P29&lt;=QUARTILE(Data!P$4:P$153,1),1,IF(Data!P29&lt;=MEDIAN(Data!P$4:P$153),2,IF(Data!P29&lt;=QUARTILE(Data!P$4:P$153,3),3,4)))</f>
        <v>2</v>
      </c>
      <c r="Q29" s="8">
        <f>IF(Data!Q29&lt;=QUARTILE(Data!Q$4:Q$153,1),1,IF(Data!Q29&lt;=MEDIAN(Data!Q$4:Q$153),2,IF(Data!Q29&lt;=QUARTILE(Data!Q$4:Q$153,3),3,4)))</f>
        <v>2</v>
      </c>
      <c r="R29" s="8">
        <f>IF(Data!R29&lt;=QUARTILE(Data!R$4:R$153,1),1,IF(Data!R29&lt;=MEDIAN(Data!R$4:R$153),2,IF(Data!R29&lt;=QUARTILE(Data!R$4:R$153,3),3,4)))</f>
        <v>4</v>
      </c>
      <c r="S29" s="8">
        <f>IF(Data!S29&lt;=QUARTILE(Data!S$4:S$153,1),1,IF(Data!S29&lt;=MEDIAN(Data!S$4:S$153),2,IF(Data!S29&lt;=QUARTILE(Data!S$4:S$153,3),3,4)))</f>
        <v>4</v>
      </c>
      <c r="T29" s="9">
        <f>IF(Data!T29&lt;=QUARTILE(Data!T$4:T$153,1),1,IF(Data!T29&lt;=MEDIAN(Data!T$4:T$153),2,IF(Data!T29&lt;=QUARTILE(Data!T$4:T$153,3),3,4)))</f>
        <v>3</v>
      </c>
      <c r="U29" s="7">
        <f>IF(Data!U29&lt;=QUARTILE(Data!U$4:U$153,1),1,IF(Data!U29&lt;=MEDIAN(Data!U$4:U$153),2,IF(Data!U29&lt;=QUARTILE(Data!U$4:U$153,3),3,4)))</f>
        <v>4</v>
      </c>
      <c r="V29" s="8">
        <f>IF(Data!V29&lt;=QUARTILE(Data!V$4:V$153,1),1,IF(Data!V29&lt;=MEDIAN(Data!V$4:V$153),2,IF(Data!V29&lt;=QUARTILE(Data!V$4:V$153,3),3,4)))</f>
        <v>4</v>
      </c>
      <c r="W29" s="8">
        <f>IF(Data!W29&lt;=QUARTILE(Data!W$4:W$153,1),1,IF(Data!W29&lt;=MEDIAN(Data!W$4:W$153),2,IF(Data!W29&lt;=QUARTILE(Data!W$4:W$153,3),3,4)))</f>
        <v>4</v>
      </c>
      <c r="X29" s="8">
        <f>IF(Data!X29&lt;=QUARTILE(Data!X$4:X$153,1),1,IF(Data!X29&lt;=MEDIAN(Data!X$4:X$153),2,IF(Data!X29&lt;=QUARTILE(Data!X$4:X$153,3),3,4)))</f>
        <v>3</v>
      </c>
      <c r="Y29" s="8">
        <f>IF(Data!Y29&lt;=QUARTILE(Data!Y$4:Y$153,1),1,IF(Data!Y29&lt;=MEDIAN(Data!Y$4:Y$153),2,IF(Data!Y29&lt;=QUARTILE(Data!Y$4:Y$153,3),3,4)))</f>
        <v>4</v>
      </c>
      <c r="Z29" s="8">
        <f>IF(Data!Z29&lt;=QUARTILE(Data!Z$4:Z$153,1),1,IF(Data!Z29&lt;=MEDIAN(Data!Z$4:Z$153),2,IF(Data!Z29&lt;=QUARTILE(Data!Z$4:Z$153,3),3,4)))</f>
        <v>4</v>
      </c>
      <c r="AA29" s="8">
        <f>IF(Data!AA29&lt;=QUARTILE(Data!AA$4:AA$153,1),1,IF(Data!AA29&lt;=MEDIAN(Data!AA$4:AA$153),2,IF(Data!AA29&lt;=QUARTILE(Data!AA$4:AA$153,3),3,4)))</f>
        <v>4</v>
      </c>
      <c r="AB29" s="8">
        <f>IF(Data!AB29&lt;=QUARTILE(Data!AB$4:AB$153,1),1,IF(Data!AB29&lt;=MEDIAN(Data!AB$4:AB$153),2,IF(Data!AB29&lt;=QUARTILE(Data!AB$4:AB$153,3),3,4)))</f>
        <v>4</v>
      </c>
      <c r="AC29" s="8">
        <f>IF(Data!AC29&lt;=QUARTILE(Data!AC$4:AC$153,1),1,IF(Data!AC29&lt;=MEDIAN(Data!AC$4:AC$153),2,IF(Data!AC29&lt;=QUARTILE(Data!AC$4:AC$153,3),3,4)))</f>
        <v>3</v>
      </c>
      <c r="AD29" s="8">
        <f>IF(Data!AD29&lt;=QUARTILE(Data!AD$4:AD$153,1),1,IF(Data!AD29&lt;=MEDIAN(Data!AD$4:AD$153),2,IF(Data!AD29&lt;=QUARTILE(Data!AD$4:AD$153,3),3,4)))</f>
        <v>4</v>
      </c>
      <c r="AE29" s="8">
        <f>IF(Data!AE29&lt;=QUARTILE(Data!AE$4:AE$153,1),1,IF(Data!AE29&lt;=MEDIAN(Data!AE$4:AE$153),2,IF(Data!AE29&lt;=QUARTILE(Data!AE$4:AE$153,3),3,4)))</f>
        <v>4</v>
      </c>
      <c r="AF29" s="8">
        <f>IF(Data!AF29&lt;=QUARTILE(Data!AF$4:AF$153,1),1,IF(Data!AF29&lt;=MEDIAN(Data!AF$4:AF$153),2,IF(Data!AF29&lt;=QUARTILE(Data!AF$4:AF$153,3),3,4)))</f>
        <v>3</v>
      </c>
      <c r="AG29" s="8">
        <f>IF(Data!AG29&lt;=QUARTILE(Data!AG$4:AG$153,1),1,IF(Data!AG29&lt;=MEDIAN(Data!AG$4:AG$153),2,IF(Data!AG29&lt;=QUARTILE(Data!AG$4:AG$153,3),3,4)))</f>
        <v>2</v>
      </c>
      <c r="AH29" s="9">
        <f>IF(Data!AH29&lt;=QUARTILE(Data!AH$4:AH$153,1),1,IF(Data!AH29&lt;=MEDIAN(Data!AH$4:AH$153),2,IF(Data!AH29&lt;=QUARTILE(Data!AH$4:AH$153,3),3,4)))</f>
        <v>4</v>
      </c>
    </row>
    <row r="30" spans="1:34" x14ac:dyDescent="0.25">
      <c r="A30" s="7" t="s">
        <v>76</v>
      </c>
      <c r="B30" s="14" t="s">
        <v>52</v>
      </c>
      <c r="C30" s="7">
        <v>54</v>
      </c>
      <c r="D30" s="8">
        <v>28</v>
      </c>
      <c r="E30" s="42" t="s">
        <v>58</v>
      </c>
      <c r="F30" s="9">
        <v>3.36</v>
      </c>
      <c r="G30" s="7">
        <f>IF(Data!G30&lt;=QUARTILE(Data!G$4:G$153,1),1,IF(Data!G30&lt;=MEDIAN(Data!G$4:G$153),2,IF(Data!G30&lt;=QUARTILE(Data!G$4:G$153,3),3,4)))</f>
        <v>3</v>
      </c>
      <c r="H30" s="8">
        <f>IF(Data!H30&lt;=QUARTILE(Data!H$4:H$153,1),1,IF(Data!H30&lt;=MEDIAN(Data!H$4:H$153),2,IF(Data!H30&lt;=QUARTILE(Data!H$4:H$153,3),3,4)))</f>
        <v>2</v>
      </c>
      <c r="I30" s="8">
        <f>IF(Data!I30&lt;=QUARTILE(Data!I$4:I$153,1),1,IF(Data!I30&lt;=MEDIAN(Data!I$4:I$153),2,IF(Data!I30&lt;=QUARTILE(Data!I$4:I$153,3),3,4)))</f>
        <v>4</v>
      </c>
      <c r="J30" s="8">
        <f>IF(Data!J30&lt;=QUARTILE(Data!J$4:J$153,1),1,IF(Data!J30&lt;=MEDIAN(Data!J$4:J$153),2,IF(Data!J30&lt;=QUARTILE(Data!J$4:J$153,3),3,4)))</f>
        <v>4</v>
      </c>
      <c r="K30" s="8">
        <f>IF(Data!K30&lt;=QUARTILE(Data!K$4:K$153,1),1,IF(Data!K30&lt;=MEDIAN(Data!K$4:K$153),2,IF(Data!K30&lt;=QUARTILE(Data!K$4:K$153,3),3,4)))</f>
        <v>1</v>
      </c>
      <c r="L30" s="8">
        <f>IF(Data!L30&lt;=QUARTILE(Data!L$4:L$153,1),1,IF(Data!L30&lt;=MEDIAN(Data!L$4:L$153),2,IF(Data!L30&lt;=QUARTILE(Data!L$4:L$153,3),3,4)))</f>
        <v>1</v>
      </c>
      <c r="M30" s="8">
        <f>IF(Data!M30&lt;=QUARTILE(Data!M$4:M$153,1),1,IF(Data!M30&lt;=MEDIAN(Data!M$4:M$153),2,IF(Data!M30&lt;=QUARTILE(Data!M$4:M$153,3),3,4)))</f>
        <v>1</v>
      </c>
      <c r="N30" s="8">
        <f>IF(Data!N30&lt;=QUARTILE(Data!N$4:N$153,1),1,IF(Data!N30&lt;=MEDIAN(Data!N$4:N$153),2,IF(Data!N30&lt;=QUARTILE(Data!N$4:N$153,3),3,4)))</f>
        <v>4</v>
      </c>
      <c r="O30" s="8">
        <f>IF(Data!O30&lt;=QUARTILE(Data!O$4:O$153,1),1,IF(Data!O30&lt;=MEDIAN(Data!O$4:O$153),2,IF(Data!O30&lt;=QUARTILE(Data!O$4:O$153,3),3,4)))</f>
        <v>3</v>
      </c>
      <c r="P30" s="8">
        <f>IF(Data!P30&lt;=QUARTILE(Data!P$4:P$153,1),1,IF(Data!P30&lt;=MEDIAN(Data!P$4:P$153),2,IF(Data!P30&lt;=QUARTILE(Data!P$4:P$153,3),3,4)))</f>
        <v>1</v>
      </c>
      <c r="Q30" s="8">
        <f>IF(Data!Q30&lt;=QUARTILE(Data!Q$4:Q$153,1),1,IF(Data!Q30&lt;=MEDIAN(Data!Q$4:Q$153),2,IF(Data!Q30&lt;=QUARTILE(Data!Q$4:Q$153,3),3,4)))</f>
        <v>1</v>
      </c>
      <c r="R30" s="8">
        <f>IF(Data!R30&lt;=QUARTILE(Data!R$4:R$153,1),1,IF(Data!R30&lt;=MEDIAN(Data!R$4:R$153),2,IF(Data!R30&lt;=QUARTILE(Data!R$4:R$153,3),3,4)))</f>
        <v>1</v>
      </c>
      <c r="S30" s="8">
        <f>IF(Data!S30&lt;=QUARTILE(Data!S$4:S$153,1),1,IF(Data!S30&lt;=MEDIAN(Data!S$4:S$153),2,IF(Data!S30&lt;=QUARTILE(Data!S$4:S$153,3),3,4)))</f>
        <v>1</v>
      </c>
      <c r="T30" s="9">
        <f>IF(Data!T30&lt;=QUARTILE(Data!T$4:T$153,1),1,IF(Data!T30&lt;=MEDIAN(Data!T$4:T$153),2,IF(Data!T30&lt;=QUARTILE(Data!T$4:T$153,3),3,4)))</f>
        <v>2</v>
      </c>
      <c r="U30" s="7">
        <f>IF(Data!U30&lt;=QUARTILE(Data!U$4:U$153,1),1,IF(Data!U30&lt;=MEDIAN(Data!U$4:U$153),2,IF(Data!U30&lt;=QUARTILE(Data!U$4:U$153,3),3,4)))</f>
        <v>2</v>
      </c>
      <c r="V30" s="8">
        <f>IF(Data!V30&lt;=QUARTILE(Data!V$4:V$153,1),1,IF(Data!V30&lt;=MEDIAN(Data!V$4:V$153),2,IF(Data!V30&lt;=QUARTILE(Data!V$4:V$153,3),3,4)))</f>
        <v>3</v>
      </c>
      <c r="W30" s="8">
        <f>IF(Data!W30&lt;=QUARTILE(Data!W$4:W$153,1),1,IF(Data!W30&lt;=MEDIAN(Data!W$4:W$153),2,IF(Data!W30&lt;=QUARTILE(Data!W$4:W$153,3),3,4)))</f>
        <v>1</v>
      </c>
      <c r="X30" s="8">
        <f>IF(Data!X30&lt;=QUARTILE(Data!X$4:X$153,1),1,IF(Data!X30&lt;=MEDIAN(Data!X$4:X$153),2,IF(Data!X30&lt;=QUARTILE(Data!X$4:X$153,3),3,4)))</f>
        <v>1</v>
      </c>
      <c r="Y30" s="8">
        <f>IF(Data!Y30&lt;=QUARTILE(Data!Y$4:Y$153,1),1,IF(Data!Y30&lt;=MEDIAN(Data!Y$4:Y$153),2,IF(Data!Y30&lt;=QUARTILE(Data!Y$4:Y$153,3),3,4)))</f>
        <v>1</v>
      </c>
      <c r="Z30" s="8">
        <f>IF(Data!Z30&lt;=QUARTILE(Data!Z$4:Z$153,1),1,IF(Data!Z30&lt;=MEDIAN(Data!Z$4:Z$153),2,IF(Data!Z30&lt;=QUARTILE(Data!Z$4:Z$153,3),3,4)))</f>
        <v>1</v>
      </c>
      <c r="AA30" s="8">
        <f>IF(Data!AA30&lt;=QUARTILE(Data!AA$4:AA$153,1),1,IF(Data!AA30&lt;=MEDIAN(Data!AA$4:AA$153),2,IF(Data!AA30&lt;=QUARTILE(Data!AA$4:AA$153,3),3,4)))</f>
        <v>1</v>
      </c>
      <c r="AB30" s="8">
        <f>IF(Data!AB30&lt;=QUARTILE(Data!AB$4:AB$153,1),1,IF(Data!AB30&lt;=MEDIAN(Data!AB$4:AB$153),2,IF(Data!AB30&lt;=QUARTILE(Data!AB$4:AB$153,3),3,4)))</f>
        <v>4</v>
      </c>
      <c r="AC30" s="8">
        <f>IF(Data!AC30&lt;=QUARTILE(Data!AC$4:AC$153,1),1,IF(Data!AC30&lt;=MEDIAN(Data!AC$4:AC$153),2,IF(Data!AC30&lt;=QUARTILE(Data!AC$4:AC$153,3),3,4)))</f>
        <v>1</v>
      </c>
      <c r="AD30" s="8">
        <f>IF(Data!AD30&lt;=QUARTILE(Data!AD$4:AD$153,1),1,IF(Data!AD30&lt;=MEDIAN(Data!AD$4:AD$153),2,IF(Data!AD30&lt;=QUARTILE(Data!AD$4:AD$153,3),3,4)))</f>
        <v>1</v>
      </c>
      <c r="AE30" s="8">
        <f>IF(Data!AE30&lt;=QUARTILE(Data!AE$4:AE$153,1),1,IF(Data!AE30&lt;=MEDIAN(Data!AE$4:AE$153),2,IF(Data!AE30&lt;=QUARTILE(Data!AE$4:AE$153,3),3,4)))</f>
        <v>1</v>
      </c>
      <c r="AF30" s="8">
        <f>IF(Data!AF30&lt;=QUARTILE(Data!AF$4:AF$153,1),1,IF(Data!AF30&lt;=MEDIAN(Data!AF$4:AF$153),2,IF(Data!AF30&lt;=QUARTILE(Data!AF$4:AF$153,3),3,4)))</f>
        <v>1</v>
      </c>
      <c r="AG30" s="8">
        <f>IF(Data!AG30&lt;=QUARTILE(Data!AG$4:AG$153,1),1,IF(Data!AG30&lt;=MEDIAN(Data!AG$4:AG$153),2,IF(Data!AG30&lt;=QUARTILE(Data!AG$4:AG$153,3),3,4)))</f>
        <v>1</v>
      </c>
      <c r="AH30" s="9">
        <f>IF(Data!AH30&lt;=QUARTILE(Data!AH$4:AH$153,1),1,IF(Data!AH30&lt;=MEDIAN(Data!AH$4:AH$153),2,IF(Data!AH30&lt;=QUARTILE(Data!AH$4:AH$153,3),3,4)))</f>
        <v>1</v>
      </c>
    </row>
    <row r="31" spans="1:34" x14ac:dyDescent="0.25">
      <c r="A31" s="7" t="s">
        <v>22</v>
      </c>
      <c r="B31" s="14" t="s">
        <v>52</v>
      </c>
      <c r="C31" s="7">
        <v>33</v>
      </c>
      <c r="D31" s="8">
        <v>49</v>
      </c>
      <c r="E31" s="42" t="s">
        <v>59</v>
      </c>
      <c r="F31" s="9">
        <v>-2.5299999999999998</v>
      </c>
      <c r="G31" s="7">
        <f>IF(Data!G31&lt;=QUARTILE(Data!G$4:G$153,1),1,IF(Data!G31&lt;=MEDIAN(Data!G$4:G$153),2,IF(Data!G31&lt;=QUARTILE(Data!G$4:G$153,3),3,4)))</f>
        <v>4</v>
      </c>
      <c r="H31" s="8">
        <f>IF(Data!H31&lt;=QUARTILE(Data!H$4:H$153,1),1,IF(Data!H31&lt;=MEDIAN(Data!H$4:H$153),2,IF(Data!H31&lt;=QUARTILE(Data!H$4:H$153,3),3,4)))</f>
        <v>3</v>
      </c>
      <c r="I31" s="8">
        <f>IF(Data!I31&lt;=QUARTILE(Data!I$4:I$153,1),1,IF(Data!I31&lt;=MEDIAN(Data!I$4:I$153),2,IF(Data!I31&lt;=QUARTILE(Data!I$4:I$153,3),3,4)))</f>
        <v>2</v>
      </c>
      <c r="J31" s="8">
        <f>IF(Data!J31&lt;=QUARTILE(Data!J$4:J$153,1),1,IF(Data!J31&lt;=MEDIAN(Data!J$4:J$153),2,IF(Data!J31&lt;=QUARTILE(Data!J$4:J$153,3),3,4)))</f>
        <v>2</v>
      </c>
      <c r="K31" s="8">
        <f>IF(Data!K31&lt;=QUARTILE(Data!K$4:K$153,1),1,IF(Data!K31&lt;=MEDIAN(Data!K$4:K$153),2,IF(Data!K31&lt;=QUARTILE(Data!K$4:K$153,3),3,4)))</f>
        <v>2</v>
      </c>
      <c r="L31" s="8">
        <f>IF(Data!L31&lt;=QUARTILE(Data!L$4:L$153,1),1,IF(Data!L31&lt;=MEDIAN(Data!L$4:L$153),2,IF(Data!L31&lt;=QUARTILE(Data!L$4:L$153,3),3,4)))</f>
        <v>1</v>
      </c>
      <c r="M31" s="8">
        <f>IF(Data!M31&lt;=QUARTILE(Data!M$4:M$153,1),1,IF(Data!M31&lt;=MEDIAN(Data!M$4:M$153),2,IF(Data!M31&lt;=QUARTILE(Data!M$4:M$153,3),3,4)))</f>
        <v>1</v>
      </c>
      <c r="N31" s="8">
        <f>IF(Data!N31&lt;=QUARTILE(Data!N$4:N$153,1),1,IF(Data!N31&lt;=MEDIAN(Data!N$4:N$153),2,IF(Data!N31&lt;=QUARTILE(Data!N$4:N$153,3),3,4)))</f>
        <v>3</v>
      </c>
      <c r="O31" s="8">
        <f>IF(Data!O31&lt;=QUARTILE(Data!O$4:O$153,1),1,IF(Data!O31&lt;=MEDIAN(Data!O$4:O$153),2,IF(Data!O31&lt;=QUARTILE(Data!O$4:O$153,3),3,4)))</f>
        <v>4</v>
      </c>
      <c r="P31" s="8">
        <f>IF(Data!P31&lt;=QUARTILE(Data!P$4:P$153,1),1,IF(Data!P31&lt;=MEDIAN(Data!P$4:P$153),2,IF(Data!P31&lt;=QUARTILE(Data!P$4:P$153,3),3,4)))</f>
        <v>1</v>
      </c>
      <c r="Q31" s="8">
        <f>IF(Data!Q31&lt;=QUARTILE(Data!Q$4:Q$153,1),1,IF(Data!Q31&lt;=MEDIAN(Data!Q$4:Q$153),2,IF(Data!Q31&lt;=QUARTILE(Data!Q$4:Q$153,3),3,4)))</f>
        <v>2</v>
      </c>
      <c r="R31" s="8">
        <f>IF(Data!R31&lt;=QUARTILE(Data!R$4:R$153,1),1,IF(Data!R31&lt;=MEDIAN(Data!R$4:R$153),2,IF(Data!R31&lt;=QUARTILE(Data!R$4:R$153,3),3,4)))</f>
        <v>1</v>
      </c>
      <c r="S31" s="8">
        <f>IF(Data!S31&lt;=QUARTILE(Data!S$4:S$153,1),1,IF(Data!S31&lt;=MEDIAN(Data!S$4:S$153),2,IF(Data!S31&lt;=QUARTILE(Data!S$4:S$153,3),3,4)))</f>
        <v>1</v>
      </c>
      <c r="T31" s="9">
        <f>IF(Data!T31&lt;=QUARTILE(Data!T$4:T$153,1),1,IF(Data!T31&lt;=MEDIAN(Data!T$4:T$153),2,IF(Data!T31&lt;=QUARTILE(Data!T$4:T$153,3),3,4)))</f>
        <v>3</v>
      </c>
      <c r="U31" s="7">
        <f>IF(Data!U31&lt;=QUARTILE(Data!U$4:U$153,1),1,IF(Data!U31&lt;=MEDIAN(Data!U$4:U$153),2,IF(Data!U31&lt;=QUARTILE(Data!U$4:U$153,3),3,4)))</f>
        <v>4</v>
      </c>
      <c r="V31" s="8">
        <f>IF(Data!V31&lt;=QUARTILE(Data!V$4:V$153,1),1,IF(Data!V31&lt;=MEDIAN(Data!V$4:V$153),2,IF(Data!V31&lt;=QUARTILE(Data!V$4:V$153,3),3,4)))</f>
        <v>4</v>
      </c>
      <c r="W31" s="8">
        <f>IF(Data!W31&lt;=QUARTILE(Data!W$4:W$153,1),1,IF(Data!W31&lt;=MEDIAN(Data!W$4:W$153),2,IF(Data!W31&lt;=QUARTILE(Data!W$4:W$153,3),3,4)))</f>
        <v>4</v>
      </c>
      <c r="X31" s="8">
        <f>IF(Data!X31&lt;=QUARTILE(Data!X$4:X$153,1),1,IF(Data!X31&lt;=MEDIAN(Data!X$4:X$153),2,IF(Data!X31&lt;=QUARTILE(Data!X$4:X$153,3),3,4)))</f>
        <v>4</v>
      </c>
      <c r="Y31" s="8">
        <f>IF(Data!Y31&lt;=QUARTILE(Data!Y$4:Y$153,1),1,IF(Data!Y31&lt;=MEDIAN(Data!Y$4:Y$153),2,IF(Data!Y31&lt;=QUARTILE(Data!Y$4:Y$153,3),3,4)))</f>
        <v>1</v>
      </c>
      <c r="Z31" s="8">
        <f>IF(Data!Z31&lt;=QUARTILE(Data!Z$4:Z$153,1),1,IF(Data!Z31&lt;=MEDIAN(Data!Z$4:Z$153),2,IF(Data!Z31&lt;=QUARTILE(Data!Z$4:Z$153,3),3,4)))</f>
        <v>1</v>
      </c>
      <c r="AA31" s="8">
        <f>IF(Data!AA31&lt;=QUARTILE(Data!AA$4:AA$153,1),1,IF(Data!AA31&lt;=MEDIAN(Data!AA$4:AA$153),2,IF(Data!AA31&lt;=QUARTILE(Data!AA$4:AA$153,3),3,4)))</f>
        <v>2</v>
      </c>
      <c r="AB31" s="8">
        <f>IF(Data!AB31&lt;=QUARTILE(Data!AB$4:AB$153,1),1,IF(Data!AB31&lt;=MEDIAN(Data!AB$4:AB$153),2,IF(Data!AB31&lt;=QUARTILE(Data!AB$4:AB$153,3),3,4)))</f>
        <v>4</v>
      </c>
      <c r="AC31" s="8">
        <f>IF(Data!AC31&lt;=QUARTILE(Data!AC$4:AC$153,1),1,IF(Data!AC31&lt;=MEDIAN(Data!AC$4:AC$153),2,IF(Data!AC31&lt;=QUARTILE(Data!AC$4:AC$153,3),3,4)))</f>
        <v>4</v>
      </c>
      <c r="AD31" s="8">
        <f>IF(Data!AD31&lt;=QUARTILE(Data!AD$4:AD$153,1),1,IF(Data!AD31&lt;=MEDIAN(Data!AD$4:AD$153),2,IF(Data!AD31&lt;=QUARTILE(Data!AD$4:AD$153,3),3,4)))</f>
        <v>1</v>
      </c>
      <c r="AE31" s="8">
        <f>IF(Data!AE31&lt;=QUARTILE(Data!AE$4:AE$153,1),1,IF(Data!AE31&lt;=MEDIAN(Data!AE$4:AE$153),2,IF(Data!AE31&lt;=QUARTILE(Data!AE$4:AE$153,3),3,4)))</f>
        <v>2</v>
      </c>
      <c r="AF31" s="8">
        <f>IF(Data!AF31&lt;=QUARTILE(Data!AF$4:AF$153,1),1,IF(Data!AF31&lt;=MEDIAN(Data!AF$4:AF$153),2,IF(Data!AF31&lt;=QUARTILE(Data!AF$4:AF$153,3),3,4)))</f>
        <v>1</v>
      </c>
      <c r="AG31" s="8">
        <f>IF(Data!AG31&lt;=QUARTILE(Data!AG$4:AG$153,1),1,IF(Data!AG31&lt;=MEDIAN(Data!AG$4:AG$153),2,IF(Data!AG31&lt;=QUARTILE(Data!AG$4:AG$153,3),3,4)))</f>
        <v>1</v>
      </c>
      <c r="AH31" s="9">
        <f>IF(Data!AH31&lt;=QUARTILE(Data!AH$4:AH$153,1),1,IF(Data!AH31&lt;=MEDIAN(Data!AH$4:AH$153),2,IF(Data!AH31&lt;=QUARTILE(Data!AH$4:AH$153,3),3,4)))</f>
        <v>4</v>
      </c>
    </row>
    <row r="32" spans="1:34" x14ac:dyDescent="0.25">
      <c r="A32" s="7" t="s">
        <v>67</v>
      </c>
      <c r="B32" s="14" t="s">
        <v>52</v>
      </c>
      <c r="C32" s="7">
        <v>48</v>
      </c>
      <c r="D32" s="8">
        <v>34</v>
      </c>
      <c r="E32" s="42" t="s">
        <v>58</v>
      </c>
      <c r="F32" s="9">
        <v>2.31</v>
      </c>
      <c r="G32" s="7">
        <f>IF(Data!G32&lt;=QUARTILE(Data!G$4:G$153,1),1,IF(Data!G32&lt;=MEDIAN(Data!G$4:G$153),2,IF(Data!G32&lt;=QUARTILE(Data!G$4:G$153,3),3,4)))</f>
        <v>4</v>
      </c>
      <c r="H32" s="8">
        <f>IF(Data!H32&lt;=QUARTILE(Data!H$4:H$153,1),1,IF(Data!H32&lt;=MEDIAN(Data!H$4:H$153),2,IF(Data!H32&lt;=QUARTILE(Data!H$4:H$153,3),3,4)))</f>
        <v>3</v>
      </c>
      <c r="I32" s="8">
        <f>IF(Data!I32&lt;=QUARTILE(Data!I$4:I$153,1),1,IF(Data!I32&lt;=MEDIAN(Data!I$4:I$153),2,IF(Data!I32&lt;=QUARTILE(Data!I$4:I$153,3),3,4)))</f>
        <v>1</v>
      </c>
      <c r="J32" s="8">
        <f>IF(Data!J32&lt;=QUARTILE(Data!J$4:J$153,1),1,IF(Data!J32&lt;=MEDIAN(Data!J$4:J$153),2,IF(Data!J32&lt;=QUARTILE(Data!J$4:J$153,3),3,4)))</f>
        <v>1</v>
      </c>
      <c r="K32" s="8">
        <f>IF(Data!K32&lt;=QUARTILE(Data!K$4:K$153,1),1,IF(Data!K32&lt;=MEDIAN(Data!K$4:K$153),2,IF(Data!K32&lt;=QUARTILE(Data!K$4:K$153,3),3,4)))</f>
        <v>4</v>
      </c>
      <c r="L32" s="8">
        <f>IF(Data!L32&lt;=QUARTILE(Data!L$4:L$153,1),1,IF(Data!L32&lt;=MEDIAN(Data!L$4:L$153),2,IF(Data!L32&lt;=QUARTILE(Data!L$4:L$153,3),3,4)))</f>
        <v>4</v>
      </c>
      <c r="M32" s="8">
        <f>IF(Data!M32&lt;=QUARTILE(Data!M$4:M$153,1),1,IF(Data!M32&lt;=MEDIAN(Data!M$4:M$153),2,IF(Data!M32&lt;=QUARTILE(Data!M$4:M$153,3),3,4)))</f>
        <v>3</v>
      </c>
      <c r="N32" s="8">
        <f>IF(Data!N32&lt;=QUARTILE(Data!N$4:N$153,1),1,IF(Data!N32&lt;=MEDIAN(Data!N$4:N$153),2,IF(Data!N32&lt;=QUARTILE(Data!N$4:N$153,3),3,4)))</f>
        <v>2</v>
      </c>
      <c r="O32" s="8">
        <f>IF(Data!O32&lt;=QUARTILE(Data!O$4:O$153,1),1,IF(Data!O32&lt;=MEDIAN(Data!O$4:O$153),2,IF(Data!O32&lt;=QUARTILE(Data!O$4:O$153,3),3,4)))</f>
        <v>4</v>
      </c>
      <c r="P32" s="8">
        <f>IF(Data!P32&lt;=QUARTILE(Data!P$4:P$153,1),1,IF(Data!P32&lt;=MEDIAN(Data!P$4:P$153),2,IF(Data!P32&lt;=QUARTILE(Data!P$4:P$153,3),3,4)))</f>
        <v>4</v>
      </c>
      <c r="Q32" s="8">
        <f>IF(Data!Q32&lt;=QUARTILE(Data!Q$4:Q$153,1),1,IF(Data!Q32&lt;=MEDIAN(Data!Q$4:Q$153),2,IF(Data!Q32&lt;=QUARTILE(Data!Q$4:Q$153,3),3,4)))</f>
        <v>2</v>
      </c>
      <c r="R32" s="8">
        <f>IF(Data!R32&lt;=QUARTILE(Data!R$4:R$153,1),1,IF(Data!R32&lt;=MEDIAN(Data!R$4:R$153),2,IF(Data!R32&lt;=QUARTILE(Data!R$4:R$153,3),3,4)))</f>
        <v>3</v>
      </c>
      <c r="S32" s="8">
        <f>IF(Data!S32&lt;=QUARTILE(Data!S$4:S$153,1),1,IF(Data!S32&lt;=MEDIAN(Data!S$4:S$153),2,IF(Data!S32&lt;=QUARTILE(Data!S$4:S$153,3),3,4)))</f>
        <v>3</v>
      </c>
      <c r="T32" s="9">
        <f>IF(Data!T32&lt;=QUARTILE(Data!T$4:T$153,1),1,IF(Data!T32&lt;=MEDIAN(Data!T$4:T$153),2,IF(Data!T32&lt;=QUARTILE(Data!T$4:T$153,3),3,4)))</f>
        <v>4</v>
      </c>
      <c r="U32" s="7">
        <f>IF(Data!U32&lt;=QUARTILE(Data!U$4:U$153,1),1,IF(Data!U32&lt;=MEDIAN(Data!U$4:U$153),2,IF(Data!U32&lt;=QUARTILE(Data!U$4:U$153,3),3,4)))</f>
        <v>3</v>
      </c>
      <c r="V32" s="8">
        <f>IF(Data!V32&lt;=QUARTILE(Data!V$4:V$153,1),1,IF(Data!V32&lt;=MEDIAN(Data!V$4:V$153),2,IF(Data!V32&lt;=QUARTILE(Data!V$4:V$153,3),3,4)))</f>
        <v>2</v>
      </c>
      <c r="W32" s="8">
        <f>IF(Data!W32&lt;=QUARTILE(Data!W$4:W$153,1),1,IF(Data!W32&lt;=MEDIAN(Data!W$4:W$153),2,IF(Data!W32&lt;=QUARTILE(Data!W$4:W$153,3),3,4)))</f>
        <v>3</v>
      </c>
      <c r="X32" s="8">
        <f>IF(Data!X32&lt;=QUARTILE(Data!X$4:X$153,1),1,IF(Data!X32&lt;=MEDIAN(Data!X$4:X$153),2,IF(Data!X32&lt;=QUARTILE(Data!X$4:X$153,3),3,4)))</f>
        <v>3</v>
      </c>
      <c r="Y32" s="8">
        <f>IF(Data!Y32&lt;=QUARTILE(Data!Y$4:Y$153,1),1,IF(Data!Y32&lt;=MEDIAN(Data!Y$4:Y$153),2,IF(Data!Y32&lt;=QUARTILE(Data!Y$4:Y$153,3),3,4)))</f>
        <v>4</v>
      </c>
      <c r="Z32" s="8">
        <f>IF(Data!Z32&lt;=QUARTILE(Data!Z$4:Z$153,1),1,IF(Data!Z32&lt;=MEDIAN(Data!Z$4:Z$153),2,IF(Data!Z32&lt;=QUARTILE(Data!Z$4:Z$153,3),3,4)))</f>
        <v>3</v>
      </c>
      <c r="AA32" s="8">
        <f>IF(Data!AA32&lt;=QUARTILE(Data!AA$4:AA$153,1),1,IF(Data!AA32&lt;=MEDIAN(Data!AA$4:AA$153),2,IF(Data!AA32&lt;=QUARTILE(Data!AA$4:AA$153,3),3,4)))</f>
        <v>2</v>
      </c>
      <c r="AB32" s="8">
        <f>IF(Data!AB32&lt;=QUARTILE(Data!AB$4:AB$153,1),1,IF(Data!AB32&lt;=MEDIAN(Data!AB$4:AB$153),2,IF(Data!AB32&lt;=QUARTILE(Data!AB$4:AB$153,3),3,4)))</f>
        <v>1</v>
      </c>
      <c r="AC32" s="8">
        <f>IF(Data!AC32&lt;=QUARTILE(Data!AC$4:AC$153,1),1,IF(Data!AC32&lt;=MEDIAN(Data!AC$4:AC$153),2,IF(Data!AC32&lt;=QUARTILE(Data!AC$4:AC$153,3),3,4)))</f>
        <v>1</v>
      </c>
      <c r="AD32" s="8">
        <f>IF(Data!AD32&lt;=QUARTILE(Data!AD$4:AD$153,1),1,IF(Data!AD32&lt;=MEDIAN(Data!AD$4:AD$153),2,IF(Data!AD32&lt;=QUARTILE(Data!AD$4:AD$153,3),3,4)))</f>
        <v>4</v>
      </c>
      <c r="AE32" s="8">
        <f>IF(Data!AE32&lt;=QUARTILE(Data!AE$4:AE$153,1),1,IF(Data!AE32&lt;=MEDIAN(Data!AE$4:AE$153),2,IF(Data!AE32&lt;=QUARTILE(Data!AE$4:AE$153,3),3,4)))</f>
        <v>4</v>
      </c>
      <c r="AF32" s="8">
        <f>IF(Data!AF32&lt;=QUARTILE(Data!AF$4:AF$153,1),1,IF(Data!AF32&lt;=MEDIAN(Data!AF$4:AF$153),2,IF(Data!AF32&lt;=QUARTILE(Data!AF$4:AF$153,3),3,4)))</f>
        <v>4</v>
      </c>
      <c r="AG32" s="8">
        <f>IF(Data!AG32&lt;=QUARTILE(Data!AG$4:AG$153,1),1,IF(Data!AG32&lt;=MEDIAN(Data!AG$4:AG$153),2,IF(Data!AG32&lt;=QUARTILE(Data!AG$4:AG$153,3),3,4)))</f>
        <v>4</v>
      </c>
      <c r="AH32" s="9">
        <f>IF(Data!AH32&lt;=QUARTILE(Data!AH$4:AH$153,1),1,IF(Data!AH32&lt;=MEDIAN(Data!AH$4:AH$153),2,IF(Data!AH32&lt;=QUARTILE(Data!AH$4:AH$153,3),3,4)))</f>
        <v>3</v>
      </c>
    </row>
    <row r="33" spans="1:34" ht="15.75" thickBot="1" x14ac:dyDescent="0.3">
      <c r="A33" s="10" t="s">
        <v>26</v>
      </c>
      <c r="B33" s="15" t="s">
        <v>52</v>
      </c>
      <c r="C33" s="10">
        <v>19</v>
      </c>
      <c r="D33" s="11">
        <v>63</v>
      </c>
      <c r="E33" s="43" t="s">
        <v>59</v>
      </c>
      <c r="F33" s="12">
        <v>-6.98</v>
      </c>
      <c r="G33" s="10">
        <f>IF(Data!G33&lt;=QUARTILE(Data!G$4:G$153,1),1,IF(Data!G33&lt;=MEDIAN(Data!G$4:G$153),2,IF(Data!G33&lt;=QUARTILE(Data!G$4:G$153,3),3,4)))</f>
        <v>3</v>
      </c>
      <c r="H33" s="11">
        <f>IF(Data!H33&lt;=QUARTILE(Data!H$4:H$153,1),1,IF(Data!H33&lt;=MEDIAN(Data!H$4:H$153),2,IF(Data!H33&lt;=QUARTILE(Data!H$4:H$153,3),3,4)))</f>
        <v>3</v>
      </c>
      <c r="I33" s="11">
        <f>IF(Data!I33&lt;=QUARTILE(Data!I$4:I$153,1),1,IF(Data!I33&lt;=MEDIAN(Data!I$4:I$153),2,IF(Data!I33&lt;=QUARTILE(Data!I$4:I$153,3),3,4)))</f>
        <v>1</v>
      </c>
      <c r="J33" s="11">
        <f>IF(Data!J33&lt;=QUARTILE(Data!J$4:J$153,1),1,IF(Data!J33&lt;=MEDIAN(Data!J$4:J$153),2,IF(Data!J33&lt;=QUARTILE(Data!J$4:J$153,3),3,4)))</f>
        <v>2</v>
      </c>
      <c r="K33" s="11">
        <f>IF(Data!K33&lt;=QUARTILE(Data!K$4:K$153,1),1,IF(Data!K33&lt;=MEDIAN(Data!K$4:K$153),2,IF(Data!K33&lt;=QUARTILE(Data!K$4:K$153,3),3,4)))</f>
        <v>1</v>
      </c>
      <c r="L33" s="11">
        <f>IF(Data!L33&lt;=QUARTILE(Data!L$4:L$153,1),1,IF(Data!L33&lt;=MEDIAN(Data!L$4:L$153),2,IF(Data!L33&lt;=QUARTILE(Data!L$4:L$153,3),3,4)))</f>
        <v>1</v>
      </c>
      <c r="M33" s="11">
        <f>IF(Data!M33&lt;=QUARTILE(Data!M$4:M$153,1),1,IF(Data!M33&lt;=MEDIAN(Data!M$4:M$153),2,IF(Data!M33&lt;=QUARTILE(Data!M$4:M$153,3),3,4)))</f>
        <v>3</v>
      </c>
      <c r="N33" s="11">
        <f>IF(Data!N33&lt;=QUARTILE(Data!N$4:N$153,1),1,IF(Data!N33&lt;=MEDIAN(Data!N$4:N$153),2,IF(Data!N33&lt;=QUARTILE(Data!N$4:N$153,3),3,4)))</f>
        <v>1</v>
      </c>
      <c r="O33" s="11">
        <f>IF(Data!O33&lt;=QUARTILE(Data!O$4:O$153,1),1,IF(Data!O33&lt;=MEDIAN(Data!O$4:O$153),2,IF(Data!O33&lt;=QUARTILE(Data!O$4:O$153,3),3,4)))</f>
        <v>1</v>
      </c>
      <c r="P33" s="11">
        <f>IF(Data!P33&lt;=QUARTILE(Data!P$4:P$153,1),1,IF(Data!P33&lt;=MEDIAN(Data!P$4:P$153),2,IF(Data!P33&lt;=QUARTILE(Data!P$4:P$153,3),3,4)))</f>
        <v>3</v>
      </c>
      <c r="Q33" s="11">
        <f>IF(Data!Q33&lt;=QUARTILE(Data!Q$4:Q$153,1),1,IF(Data!Q33&lt;=MEDIAN(Data!Q$4:Q$153),2,IF(Data!Q33&lt;=QUARTILE(Data!Q$4:Q$153,3),3,4)))</f>
        <v>2</v>
      </c>
      <c r="R33" s="11">
        <f>IF(Data!R33&lt;=QUARTILE(Data!R$4:R$153,1),1,IF(Data!R33&lt;=MEDIAN(Data!R$4:R$153),2,IF(Data!R33&lt;=QUARTILE(Data!R$4:R$153,3),3,4)))</f>
        <v>2</v>
      </c>
      <c r="S33" s="11">
        <f>IF(Data!S33&lt;=QUARTILE(Data!S$4:S$153,1),1,IF(Data!S33&lt;=MEDIAN(Data!S$4:S$153),2,IF(Data!S33&lt;=QUARTILE(Data!S$4:S$153,3),3,4)))</f>
        <v>1</v>
      </c>
      <c r="T33" s="12">
        <f>IF(Data!T33&lt;=QUARTILE(Data!T$4:T$153,1),1,IF(Data!T33&lt;=MEDIAN(Data!T$4:T$153),2,IF(Data!T33&lt;=QUARTILE(Data!T$4:T$153,3),3,4)))</f>
        <v>2</v>
      </c>
      <c r="U33" s="10">
        <f>IF(Data!U33&lt;=QUARTILE(Data!U$4:U$153,1),1,IF(Data!U33&lt;=MEDIAN(Data!U$4:U$153),2,IF(Data!U33&lt;=QUARTILE(Data!U$4:U$153,3),3,4)))</f>
        <v>4</v>
      </c>
      <c r="V33" s="11">
        <f>IF(Data!V33&lt;=QUARTILE(Data!V$4:V$153,1),1,IF(Data!V33&lt;=MEDIAN(Data!V$4:V$153),2,IF(Data!V33&lt;=QUARTILE(Data!V$4:V$153,3),3,4)))</f>
        <v>3</v>
      </c>
      <c r="W33" s="11">
        <f>IF(Data!W33&lt;=QUARTILE(Data!W$4:W$153,1),1,IF(Data!W33&lt;=MEDIAN(Data!W$4:W$153),2,IF(Data!W33&lt;=QUARTILE(Data!W$4:W$153,3),3,4)))</f>
        <v>4</v>
      </c>
      <c r="X33" s="11">
        <f>IF(Data!X33&lt;=QUARTILE(Data!X$4:X$153,1),1,IF(Data!X33&lt;=MEDIAN(Data!X$4:X$153),2,IF(Data!X33&lt;=QUARTILE(Data!X$4:X$153,3),3,4)))</f>
        <v>4</v>
      </c>
      <c r="Y33" s="11">
        <f>IF(Data!Y33&lt;=QUARTILE(Data!Y$4:Y$153,1),1,IF(Data!Y33&lt;=MEDIAN(Data!Y$4:Y$153),2,IF(Data!Y33&lt;=QUARTILE(Data!Y$4:Y$153,3),3,4)))</f>
        <v>2</v>
      </c>
      <c r="Z33" s="11">
        <f>IF(Data!Z33&lt;=QUARTILE(Data!Z$4:Z$153,1),1,IF(Data!Z33&lt;=MEDIAN(Data!Z$4:Z$153),2,IF(Data!Z33&lt;=QUARTILE(Data!Z$4:Z$153,3),3,4)))</f>
        <v>2</v>
      </c>
      <c r="AA33" s="11">
        <f>IF(Data!AA33&lt;=QUARTILE(Data!AA$4:AA$153,1),1,IF(Data!AA33&lt;=MEDIAN(Data!AA$4:AA$153),2,IF(Data!AA33&lt;=QUARTILE(Data!AA$4:AA$153,3),3,4)))</f>
        <v>3</v>
      </c>
      <c r="AB33" s="11">
        <f>IF(Data!AB33&lt;=QUARTILE(Data!AB$4:AB$153,1),1,IF(Data!AB33&lt;=MEDIAN(Data!AB$4:AB$153),2,IF(Data!AB33&lt;=QUARTILE(Data!AB$4:AB$153,3),3,4)))</f>
        <v>3</v>
      </c>
      <c r="AC33" s="11">
        <f>IF(Data!AC33&lt;=QUARTILE(Data!AC$4:AC$153,1),1,IF(Data!AC33&lt;=MEDIAN(Data!AC$4:AC$153),2,IF(Data!AC33&lt;=QUARTILE(Data!AC$4:AC$153,3),3,4)))</f>
        <v>4</v>
      </c>
      <c r="AD33" s="11">
        <f>IF(Data!AD33&lt;=QUARTILE(Data!AD$4:AD$153,1),1,IF(Data!AD33&lt;=MEDIAN(Data!AD$4:AD$153),2,IF(Data!AD33&lt;=QUARTILE(Data!AD$4:AD$153,3),3,4)))</f>
        <v>2</v>
      </c>
      <c r="AE33" s="11">
        <f>IF(Data!AE33&lt;=QUARTILE(Data!AE$4:AE$153,1),1,IF(Data!AE33&lt;=MEDIAN(Data!AE$4:AE$153),2,IF(Data!AE33&lt;=QUARTILE(Data!AE$4:AE$153,3),3,4)))</f>
        <v>4</v>
      </c>
      <c r="AF33" s="11">
        <f>IF(Data!AF33&lt;=QUARTILE(Data!AF$4:AF$153,1),1,IF(Data!AF33&lt;=MEDIAN(Data!AF$4:AF$153),2,IF(Data!AF33&lt;=QUARTILE(Data!AF$4:AF$153,3),3,4)))</f>
        <v>2</v>
      </c>
      <c r="AG33" s="11">
        <f>IF(Data!AG33&lt;=QUARTILE(Data!AG$4:AG$153,1),1,IF(Data!AG33&lt;=MEDIAN(Data!AG$4:AG$153),2,IF(Data!AG33&lt;=QUARTILE(Data!AG$4:AG$153,3),3,4)))</f>
        <v>1</v>
      </c>
      <c r="AH33" s="12">
        <f>IF(Data!AH33&lt;=QUARTILE(Data!AH$4:AH$153,1),1,IF(Data!AH33&lt;=MEDIAN(Data!AH$4:AH$153),2,IF(Data!AH33&lt;=QUARTILE(Data!AH$4:AH$153,3),3,4)))</f>
        <v>4</v>
      </c>
    </row>
    <row r="34" spans="1:34" x14ac:dyDescent="0.25">
      <c r="A34" s="4" t="s">
        <v>60</v>
      </c>
      <c r="B34" s="13" t="s">
        <v>57</v>
      </c>
      <c r="C34" s="4">
        <v>37</v>
      </c>
      <c r="D34" s="5">
        <v>45</v>
      </c>
      <c r="E34" s="41" t="s">
        <v>58</v>
      </c>
      <c r="F34" s="6">
        <v>-2.23</v>
      </c>
      <c r="G34" s="4">
        <f>IF(Data!G34&lt;=QUARTILE(Data!G$4:G$153,1),1,IF(Data!G34&lt;=MEDIAN(Data!G$4:G$153),2,IF(Data!G34&lt;=QUARTILE(Data!G$4:G$153,3),3,4)))</f>
        <v>2</v>
      </c>
      <c r="H34" s="5">
        <f>IF(Data!H34&lt;=QUARTILE(Data!H$4:H$153,1),1,IF(Data!H34&lt;=MEDIAN(Data!H$4:H$153),2,IF(Data!H34&lt;=QUARTILE(Data!H$4:H$153,3),3,4)))</f>
        <v>2</v>
      </c>
      <c r="I34" s="5">
        <f>IF(Data!I34&lt;=QUARTILE(Data!I$4:I$153,1),1,IF(Data!I34&lt;=MEDIAN(Data!I$4:I$153),2,IF(Data!I34&lt;=QUARTILE(Data!I$4:I$153,3),3,4)))</f>
        <v>1</v>
      </c>
      <c r="J34" s="5">
        <f>IF(Data!J34&lt;=QUARTILE(Data!J$4:J$153,1),1,IF(Data!J34&lt;=MEDIAN(Data!J$4:J$153),2,IF(Data!J34&lt;=QUARTILE(Data!J$4:J$153,3),3,4)))</f>
        <v>1</v>
      </c>
      <c r="K34" s="5">
        <f>IF(Data!K34&lt;=QUARTILE(Data!K$4:K$153,1),1,IF(Data!K34&lt;=MEDIAN(Data!K$4:K$153),2,IF(Data!K34&lt;=QUARTILE(Data!K$4:K$153,3),3,4)))</f>
        <v>4</v>
      </c>
      <c r="L34" s="5">
        <f>IF(Data!L34&lt;=QUARTILE(Data!L$4:L$153,1),1,IF(Data!L34&lt;=MEDIAN(Data!L$4:L$153),2,IF(Data!L34&lt;=QUARTILE(Data!L$4:L$153,3),3,4)))</f>
        <v>4</v>
      </c>
      <c r="M34" s="5">
        <f>IF(Data!M34&lt;=QUARTILE(Data!M$4:M$153,1),1,IF(Data!M34&lt;=MEDIAN(Data!M$4:M$153),2,IF(Data!M34&lt;=QUARTILE(Data!M$4:M$153,3),3,4)))</f>
        <v>4</v>
      </c>
      <c r="N34" s="5">
        <f>IF(Data!N34&lt;=QUARTILE(Data!N$4:N$153,1),1,IF(Data!N34&lt;=MEDIAN(Data!N$4:N$153),2,IF(Data!N34&lt;=QUARTILE(Data!N$4:N$153,3),3,4)))</f>
        <v>2</v>
      </c>
      <c r="O34" s="5">
        <f>IF(Data!O34&lt;=QUARTILE(Data!O$4:O$153,1),1,IF(Data!O34&lt;=MEDIAN(Data!O$4:O$153),2,IF(Data!O34&lt;=QUARTILE(Data!O$4:O$153,3),3,4)))</f>
        <v>3</v>
      </c>
      <c r="P34" s="5">
        <f>IF(Data!P34&lt;=QUARTILE(Data!P$4:P$153,1),1,IF(Data!P34&lt;=MEDIAN(Data!P$4:P$153),2,IF(Data!P34&lt;=QUARTILE(Data!P$4:P$153,3),3,4)))</f>
        <v>3</v>
      </c>
      <c r="Q34" s="5">
        <f>IF(Data!Q34&lt;=QUARTILE(Data!Q$4:Q$153,1),1,IF(Data!Q34&lt;=MEDIAN(Data!Q$4:Q$153),2,IF(Data!Q34&lt;=QUARTILE(Data!Q$4:Q$153,3),3,4)))</f>
        <v>4</v>
      </c>
      <c r="R34" s="5">
        <f>IF(Data!R34&lt;=QUARTILE(Data!R$4:R$153,1),1,IF(Data!R34&lt;=MEDIAN(Data!R$4:R$153),2,IF(Data!R34&lt;=QUARTILE(Data!R$4:R$153,3),3,4)))</f>
        <v>3</v>
      </c>
      <c r="S34" s="5">
        <f>IF(Data!S34&lt;=QUARTILE(Data!S$4:S$153,1),1,IF(Data!S34&lt;=MEDIAN(Data!S$4:S$153),2,IF(Data!S34&lt;=QUARTILE(Data!S$4:S$153,3),3,4)))</f>
        <v>1</v>
      </c>
      <c r="T34" s="6">
        <f>IF(Data!T34&lt;=QUARTILE(Data!T$4:T$153,1),1,IF(Data!T34&lt;=MEDIAN(Data!T$4:T$153),2,IF(Data!T34&lt;=QUARTILE(Data!T$4:T$153,3),3,4)))</f>
        <v>3</v>
      </c>
      <c r="U34" s="4">
        <f>IF(Data!U34&lt;=QUARTILE(Data!U$4:U$153,1),1,IF(Data!U34&lt;=MEDIAN(Data!U$4:U$153),2,IF(Data!U34&lt;=QUARTILE(Data!U$4:U$153,3),3,4)))</f>
        <v>4</v>
      </c>
      <c r="V34" s="5">
        <f>IF(Data!V34&lt;=QUARTILE(Data!V$4:V$153,1),1,IF(Data!V34&lt;=MEDIAN(Data!V$4:V$153),2,IF(Data!V34&lt;=QUARTILE(Data!V$4:V$153,3),3,4)))</f>
        <v>4</v>
      </c>
      <c r="W34" s="5">
        <f>IF(Data!W34&lt;=QUARTILE(Data!W$4:W$153,1),1,IF(Data!W34&lt;=MEDIAN(Data!W$4:W$153),2,IF(Data!W34&lt;=QUARTILE(Data!W$4:W$153,3),3,4)))</f>
        <v>3</v>
      </c>
      <c r="X34" s="5">
        <f>IF(Data!X34&lt;=QUARTILE(Data!X$4:X$153,1),1,IF(Data!X34&lt;=MEDIAN(Data!X$4:X$153),2,IF(Data!X34&lt;=QUARTILE(Data!X$4:X$153,3),3,4)))</f>
        <v>3</v>
      </c>
      <c r="Y34" s="5">
        <f>IF(Data!Y34&lt;=QUARTILE(Data!Y$4:Y$153,1),1,IF(Data!Y34&lt;=MEDIAN(Data!Y$4:Y$153),2,IF(Data!Y34&lt;=QUARTILE(Data!Y$4:Y$153,3),3,4)))</f>
        <v>1</v>
      </c>
      <c r="Z34" s="5">
        <f>IF(Data!Z34&lt;=QUARTILE(Data!Z$4:Z$153,1),1,IF(Data!Z34&lt;=MEDIAN(Data!Z$4:Z$153),2,IF(Data!Z34&lt;=QUARTILE(Data!Z$4:Z$153,3),3,4)))</f>
        <v>1</v>
      </c>
      <c r="AA34" s="5">
        <f>IF(Data!AA34&lt;=QUARTILE(Data!AA$4:AA$153,1),1,IF(Data!AA34&lt;=MEDIAN(Data!AA$4:AA$153),2,IF(Data!AA34&lt;=QUARTILE(Data!AA$4:AA$153,3),3,4)))</f>
        <v>3</v>
      </c>
      <c r="AB34" s="5">
        <f>IF(Data!AB34&lt;=QUARTILE(Data!AB$4:AB$153,1),1,IF(Data!AB34&lt;=MEDIAN(Data!AB$4:AB$153),2,IF(Data!AB34&lt;=QUARTILE(Data!AB$4:AB$153,3),3,4)))</f>
        <v>1</v>
      </c>
      <c r="AC34" s="5">
        <f>IF(Data!AC34&lt;=QUARTILE(Data!AC$4:AC$153,1),1,IF(Data!AC34&lt;=MEDIAN(Data!AC$4:AC$153),2,IF(Data!AC34&lt;=QUARTILE(Data!AC$4:AC$153,3),3,4)))</f>
        <v>4</v>
      </c>
      <c r="AD34" s="5">
        <f>IF(Data!AD34&lt;=QUARTILE(Data!AD$4:AD$153,1),1,IF(Data!AD34&lt;=MEDIAN(Data!AD$4:AD$153),2,IF(Data!AD34&lt;=QUARTILE(Data!AD$4:AD$153,3),3,4)))</f>
        <v>3</v>
      </c>
      <c r="AE34" s="5">
        <f>IF(Data!AE34&lt;=QUARTILE(Data!AE$4:AE$153,1),1,IF(Data!AE34&lt;=MEDIAN(Data!AE$4:AE$153),2,IF(Data!AE34&lt;=QUARTILE(Data!AE$4:AE$153,3),3,4)))</f>
        <v>3</v>
      </c>
      <c r="AF34" s="5">
        <f>IF(Data!AF34&lt;=QUARTILE(Data!AF$4:AF$153,1),1,IF(Data!AF34&lt;=MEDIAN(Data!AF$4:AF$153),2,IF(Data!AF34&lt;=QUARTILE(Data!AF$4:AF$153,3),3,4)))</f>
        <v>2</v>
      </c>
      <c r="AG34" s="5">
        <f>IF(Data!AG34&lt;=QUARTILE(Data!AG$4:AG$153,1),1,IF(Data!AG34&lt;=MEDIAN(Data!AG$4:AG$153),2,IF(Data!AG34&lt;=QUARTILE(Data!AG$4:AG$153,3),3,4)))</f>
        <v>2</v>
      </c>
      <c r="AH34" s="6">
        <f>IF(Data!AH34&lt;=QUARTILE(Data!AH$4:AH$153,1),1,IF(Data!AH34&lt;=MEDIAN(Data!AH$4:AH$153),2,IF(Data!AH34&lt;=QUARTILE(Data!AH$4:AH$153,3),3,4)))</f>
        <v>3</v>
      </c>
    </row>
    <row r="35" spans="1:34" x14ac:dyDescent="0.25">
      <c r="A35" s="7" t="s">
        <v>61</v>
      </c>
      <c r="B35" s="14" t="s">
        <v>57</v>
      </c>
      <c r="C35" s="7">
        <v>66</v>
      </c>
      <c r="D35" s="8">
        <v>16</v>
      </c>
      <c r="E35" s="42" t="s">
        <v>58</v>
      </c>
      <c r="F35" s="9">
        <v>9.31</v>
      </c>
      <c r="G35" s="7">
        <f>IF(Data!G35&lt;=QUARTILE(Data!G$4:G$153,1),1,IF(Data!G35&lt;=MEDIAN(Data!G$4:G$153),2,IF(Data!G35&lt;=QUARTILE(Data!G$4:G$153,3),3,4)))</f>
        <v>2</v>
      </c>
      <c r="H35" s="8">
        <f>IF(Data!H35&lt;=QUARTILE(Data!H$4:H$153,1),1,IF(Data!H35&lt;=MEDIAN(Data!H$4:H$153),2,IF(Data!H35&lt;=QUARTILE(Data!H$4:H$153,3),3,4)))</f>
        <v>1</v>
      </c>
      <c r="I35" s="8">
        <f>IF(Data!I35&lt;=QUARTILE(Data!I$4:I$153,1),1,IF(Data!I35&lt;=MEDIAN(Data!I$4:I$153),2,IF(Data!I35&lt;=QUARTILE(Data!I$4:I$153,3),3,4)))</f>
        <v>4</v>
      </c>
      <c r="J35" s="8">
        <f>IF(Data!J35&lt;=QUARTILE(Data!J$4:J$153,1),1,IF(Data!J35&lt;=MEDIAN(Data!J$4:J$153),2,IF(Data!J35&lt;=QUARTILE(Data!J$4:J$153,3),3,4)))</f>
        <v>3</v>
      </c>
      <c r="K35" s="8">
        <f>IF(Data!K35&lt;=QUARTILE(Data!K$4:K$153,1),1,IF(Data!K35&lt;=MEDIAN(Data!K$4:K$153),2,IF(Data!K35&lt;=QUARTILE(Data!K$4:K$153,3),3,4)))</f>
        <v>3</v>
      </c>
      <c r="L35" s="8">
        <f>IF(Data!L35&lt;=QUARTILE(Data!L$4:L$153,1),1,IF(Data!L35&lt;=MEDIAN(Data!L$4:L$153),2,IF(Data!L35&lt;=QUARTILE(Data!L$4:L$153,3),3,4)))</f>
        <v>3</v>
      </c>
      <c r="M35" s="8">
        <f>IF(Data!M35&lt;=QUARTILE(Data!M$4:M$153,1),1,IF(Data!M35&lt;=MEDIAN(Data!M$4:M$153),2,IF(Data!M35&lt;=QUARTILE(Data!M$4:M$153,3),3,4)))</f>
        <v>1</v>
      </c>
      <c r="N35" s="8">
        <f>IF(Data!N35&lt;=QUARTILE(Data!N$4:N$153,1),1,IF(Data!N35&lt;=MEDIAN(Data!N$4:N$153),2,IF(Data!N35&lt;=QUARTILE(Data!N$4:N$153,3),3,4)))</f>
        <v>4</v>
      </c>
      <c r="O35" s="8">
        <f>IF(Data!O35&lt;=QUARTILE(Data!O$4:O$153,1),1,IF(Data!O35&lt;=MEDIAN(Data!O$4:O$153),2,IF(Data!O35&lt;=QUARTILE(Data!O$4:O$153,3),3,4)))</f>
        <v>4</v>
      </c>
      <c r="P35" s="8">
        <f>IF(Data!P35&lt;=QUARTILE(Data!P$4:P$153,1),1,IF(Data!P35&lt;=MEDIAN(Data!P$4:P$153),2,IF(Data!P35&lt;=QUARTILE(Data!P$4:P$153,3),3,4)))</f>
        <v>4</v>
      </c>
      <c r="Q35" s="8">
        <f>IF(Data!Q35&lt;=QUARTILE(Data!Q$4:Q$153,1),1,IF(Data!Q35&lt;=MEDIAN(Data!Q$4:Q$153),2,IF(Data!Q35&lt;=QUARTILE(Data!Q$4:Q$153,3),3,4)))</f>
        <v>2</v>
      </c>
      <c r="R35" s="8">
        <f>IF(Data!R35&lt;=QUARTILE(Data!R$4:R$153,1),1,IF(Data!R35&lt;=MEDIAN(Data!R$4:R$153),2,IF(Data!R35&lt;=QUARTILE(Data!R$4:R$153,3),3,4)))</f>
        <v>4</v>
      </c>
      <c r="S35" s="8">
        <f>IF(Data!S35&lt;=QUARTILE(Data!S$4:S$153,1),1,IF(Data!S35&lt;=MEDIAN(Data!S$4:S$153),2,IF(Data!S35&lt;=QUARTILE(Data!S$4:S$153,3),3,4)))</f>
        <v>3</v>
      </c>
      <c r="T35" s="9">
        <f>IF(Data!T35&lt;=QUARTILE(Data!T$4:T$153,1),1,IF(Data!T35&lt;=MEDIAN(Data!T$4:T$153),2,IF(Data!T35&lt;=QUARTILE(Data!T$4:T$153,3),3,4)))</f>
        <v>3</v>
      </c>
      <c r="U35" s="7">
        <f>IF(Data!U35&lt;=QUARTILE(Data!U$4:U$153,1),1,IF(Data!U35&lt;=MEDIAN(Data!U$4:U$153),2,IF(Data!U35&lt;=QUARTILE(Data!U$4:U$153,3),3,4)))</f>
        <v>1</v>
      </c>
      <c r="V35" s="8">
        <f>IF(Data!V35&lt;=QUARTILE(Data!V$4:V$153,1),1,IF(Data!V35&lt;=MEDIAN(Data!V$4:V$153),2,IF(Data!V35&lt;=QUARTILE(Data!V$4:V$153,3),3,4)))</f>
        <v>1</v>
      </c>
      <c r="W35" s="8">
        <f>IF(Data!W35&lt;=QUARTILE(Data!W$4:W$153,1),1,IF(Data!W35&lt;=MEDIAN(Data!W$4:W$153),2,IF(Data!W35&lt;=QUARTILE(Data!W$4:W$153,3),3,4)))</f>
        <v>2</v>
      </c>
      <c r="X35" s="8">
        <f>IF(Data!X35&lt;=QUARTILE(Data!X$4:X$153,1),1,IF(Data!X35&lt;=MEDIAN(Data!X$4:X$153),2,IF(Data!X35&lt;=QUARTILE(Data!X$4:X$153,3),3,4)))</f>
        <v>4</v>
      </c>
      <c r="Y35" s="8">
        <f>IF(Data!Y35&lt;=QUARTILE(Data!Y$4:Y$153,1),1,IF(Data!Y35&lt;=MEDIAN(Data!Y$4:Y$153),2,IF(Data!Y35&lt;=QUARTILE(Data!Y$4:Y$153,3),3,4)))</f>
        <v>3</v>
      </c>
      <c r="Z35" s="8">
        <f>IF(Data!Z35&lt;=QUARTILE(Data!Z$4:Z$153,1),1,IF(Data!Z35&lt;=MEDIAN(Data!Z$4:Z$153),2,IF(Data!Z35&lt;=QUARTILE(Data!Z$4:Z$153,3),3,4)))</f>
        <v>3</v>
      </c>
      <c r="AA35" s="8">
        <f>IF(Data!AA35&lt;=QUARTILE(Data!AA$4:AA$153,1),1,IF(Data!AA35&lt;=MEDIAN(Data!AA$4:AA$153),2,IF(Data!AA35&lt;=QUARTILE(Data!AA$4:AA$153,3),3,4)))</f>
        <v>2</v>
      </c>
      <c r="AB35" s="8">
        <f>IF(Data!AB35&lt;=QUARTILE(Data!AB$4:AB$153,1),1,IF(Data!AB35&lt;=MEDIAN(Data!AB$4:AB$153),2,IF(Data!AB35&lt;=QUARTILE(Data!AB$4:AB$153,3),3,4)))</f>
        <v>1</v>
      </c>
      <c r="AC35" s="8">
        <f>IF(Data!AC35&lt;=QUARTILE(Data!AC$4:AC$153,1),1,IF(Data!AC35&lt;=MEDIAN(Data!AC$4:AC$153),2,IF(Data!AC35&lt;=QUARTILE(Data!AC$4:AC$153,3),3,4)))</f>
        <v>1</v>
      </c>
      <c r="AD35" s="8">
        <f>IF(Data!AD35&lt;=QUARTILE(Data!AD$4:AD$153,1),1,IF(Data!AD35&lt;=MEDIAN(Data!AD$4:AD$153),2,IF(Data!AD35&lt;=QUARTILE(Data!AD$4:AD$153,3),3,4)))</f>
        <v>2</v>
      </c>
      <c r="AE35" s="8">
        <f>IF(Data!AE35&lt;=QUARTILE(Data!AE$4:AE$153,1),1,IF(Data!AE35&lt;=MEDIAN(Data!AE$4:AE$153),2,IF(Data!AE35&lt;=QUARTILE(Data!AE$4:AE$153,3),3,4)))</f>
        <v>2</v>
      </c>
      <c r="AF35" s="8">
        <f>IF(Data!AF35&lt;=QUARTILE(Data!AF$4:AF$153,1),1,IF(Data!AF35&lt;=MEDIAN(Data!AF$4:AF$153),2,IF(Data!AF35&lt;=QUARTILE(Data!AF$4:AF$153,3),3,4)))</f>
        <v>4</v>
      </c>
      <c r="AG35" s="8">
        <f>IF(Data!AG35&lt;=QUARTILE(Data!AG$4:AG$153,1),1,IF(Data!AG35&lt;=MEDIAN(Data!AG$4:AG$153),2,IF(Data!AG35&lt;=QUARTILE(Data!AG$4:AG$153,3),3,4)))</f>
        <v>3</v>
      </c>
      <c r="AH35" s="9">
        <f>IF(Data!AH35&lt;=QUARTILE(Data!AH$4:AH$153,1),1,IF(Data!AH35&lt;=MEDIAN(Data!AH$4:AH$153),2,IF(Data!AH35&lt;=QUARTILE(Data!AH$4:AH$153,3),3,4)))</f>
        <v>1</v>
      </c>
    </row>
    <row r="36" spans="1:34" x14ac:dyDescent="0.25">
      <c r="A36" s="7" t="s">
        <v>29</v>
      </c>
      <c r="B36" s="14" t="s">
        <v>57</v>
      </c>
      <c r="C36" s="7">
        <v>32</v>
      </c>
      <c r="D36" s="8">
        <v>50</v>
      </c>
      <c r="E36" s="42" t="s">
        <v>59</v>
      </c>
      <c r="F36" s="9">
        <v>-4.4800000000000004</v>
      </c>
      <c r="G36" s="7">
        <f>IF(Data!G36&lt;=QUARTILE(Data!G$4:G$153,1),1,IF(Data!G36&lt;=MEDIAN(Data!G$4:G$153),2,IF(Data!G36&lt;=QUARTILE(Data!G$4:G$153,3),3,4)))</f>
        <v>2</v>
      </c>
      <c r="H36" s="8">
        <f>IF(Data!H36&lt;=QUARTILE(Data!H$4:H$153,1),1,IF(Data!H36&lt;=MEDIAN(Data!H$4:H$153),2,IF(Data!H36&lt;=QUARTILE(Data!H$4:H$153,3),3,4)))</f>
        <v>2</v>
      </c>
      <c r="I36" s="8">
        <f>IF(Data!I36&lt;=QUARTILE(Data!I$4:I$153,1),1,IF(Data!I36&lt;=MEDIAN(Data!I$4:I$153),2,IF(Data!I36&lt;=QUARTILE(Data!I$4:I$153,3),3,4)))</f>
        <v>3</v>
      </c>
      <c r="J36" s="8">
        <f>IF(Data!J36&lt;=QUARTILE(Data!J$4:J$153,1),1,IF(Data!J36&lt;=MEDIAN(Data!J$4:J$153),2,IF(Data!J36&lt;=QUARTILE(Data!J$4:J$153,3),3,4)))</f>
        <v>3</v>
      </c>
      <c r="K36" s="8">
        <f>IF(Data!K36&lt;=QUARTILE(Data!K$4:K$153,1),1,IF(Data!K36&lt;=MEDIAN(Data!K$4:K$153),2,IF(Data!K36&lt;=QUARTILE(Data!K$4:K$153,3),3,4)))</f>
        <v>2</v>
      </c>
      <c r="L36" s="8">
        <f>IF(Data!L36&lt;=QUARTILE(Data!L$4:L$153,1),1,IF(Data!L36&lt;=MEDIAN(Data!L$4:L$153),2,IF(Data!L36&lt;=QUARTILE(Data!L$4:L$153,3),3,4)))</f>
        <v>3</v>
      </c>
      <c r="M36" s="8">
        <f>IF(Data!M36&lt;=QUARTILE(Data!M$4:M$153,1),1,IF(Data!M36&lt;=MEDIAN(Data!M$4:M$153),2,IF(Data!M36&lt;=QUARTILE(Data!M$4:M$153,3),3,4)))</f>
        <v>2</v>
      </c>
      <c r="N36" s="8">
        <f>IF(Data!N36&lt;=QUARTILE(Data!N$4:N$153,1),1,IF(Data!N36&lt;=MEDIAN(Data!N$4:N$153),2,IF(Data!N36&lt;=QUARTILE(Data!N$4:N$153,3),3,4)))</f>
        <v>2</v>
      </c>
      <c r="O36" s="8">
        <f>IF(Data!O36&lt;=QUARTILE(Data!O$4:O$153,1),1,IF(Data!O36&lt;=MEDIAN(Data!O$4:O$153),2,IF(Data!O36&lt;=QUARTILE(Data!O$4:O$153,3),3,4)))</f>
        <v>3</v>
      </c>
      <c r="P36" s="8">
        <f>IF(Data!P36&lt;=QUARTILE(Data!P$4:P$153,1),1,IF(Data!P36&lt;=MEDIAN(Data!P$4:P$153),2,IF(Data!P36&lt;=QUARTILE(Data!P$4:P$153,3),3,4)))</f>
        <v>3</v>
      </c>
      <c r="Q36" s="8">
        <f>IF(Data!Q36&lt;=QUARTILE(Data!Q$4:Q$153,1),1,IF(Data!Q36&lt;=MEDIAN(Data!Q$4:Q$153),2,IF(Data!Q36&lt;=QUARTILE(Data!Q$4:Q$153,3),3,4)))</f>
        <v>3</v>
      </c>
      <c r="R36" s="8">
        <f>IF(Data!R36&lt;=QUARTILE(Data!R$4:R$153,1),1,IF(Data!R36&lt;=MEDIAN(Data!R$4:R$153),2,IF(Data!R36&lt;=QUARTILE(Data!R$4:R$153,3),3,4)))</f>
        <v>3</v>
      </c>
      <c r="S36" s="8">
        <f>IF(Data!S36&lt;=QUARTILE(Data!S$4:S$153,1),1,IF(Data!S36&lt;=MEDIAN(Data!S$4:S$153),2,IF(Data!S36&lt;=QUARTILE(Data!S$4:S$153,3),3,4)))</f>
        <v>2</v>
      </c>
      <c r="T36" s="9">
        <f>IF(Data!T36&lt;=QUARTILE(Data!T$4:T$153,1),1,IF(Data!T36&lt;=MEDIAN(Data!T$4:T$153),2,IF(Data!T36&lt;=QUARTILE(Data!T$4:T$153,3),3,4)))</f>
        <v>2</v>
      </c>
      <c r="U36" s="7">
        <f>IF(Data!U36&lt;=QUARTILE(Data!U$4:U$153,1),1,IF(Data!U36&lt;=MEDIAN(Data!U$4:U$153),2,IF(Data!U36&lt;=QUARTILE(Data!U$4:U$153,3),3,4)))</f>
        <v>4</v>
      </c>
      <c r="V36" s="8">
        <f>IF(Data!V36&lt;=QUARTILE(Data!V$4:V$153,1),1,IF(Data!V36&lt;=MEDIAN(Data!V$4:V$153),2,IF(Data!V36&lt;=QUARTILE(Data!V$4:V$153,3),3,4)))</f>
        <v>3</v>
      </c>
      <c r="W36" s="8">
        <f>IF(Data!W36&lt;=QUARTILE(Data!W$4:W$153,1),1,IF(Data!W36&lt;=MEDIAN(Data!W$4:W$153),2,IF(Data!W36&lt;=QUARTILE(Data!W$4:W$153,3),3,4)))</f>
        <v>3</v>
      </c>
      <c r="X36" s="8">
        <f>IF(Data!X36&lt;=QUARTILE(Data!X$4:X$153,1),1,IF(Data!X36&lt;=MEDIAN(Data!X$4:X$153),2,IF(Data!X36&lt;=QUARTILE(Data!X$4:X$153,3),3,4)))</f>
        <v>3</v>
      </c>
      <c r="Y36" s="8">
        <f>IF(Data!Y36&lt;=QUARTILE(Data!Y$4:Y$153,1),1,IF(Data!Y36&lt;=MEDIAN(Data!Y$4:Y$153),2,IF(Data!Y36&lt;=QUARTILE(Data!Y$4:Y$153,3),3,4)))</f>
        <v>2</v>
      </c>
      <c r="Z36" s="8">
        <f>IF(Data!Z36&lt;=QUARTILE(Data!Z$4:Z$153,1),1,IF(Data!Z36&lt;=MEDIAN(Data!Z$4:Z$153),2,IF(Data!Z36&lt;=QUARTILE(Data!Z$4:Z$153,3),3,4)))</f>
        <v>2</v>
      </c>
      <c r="AA36" s="8">
        <f>IF(Data!AA36&lt;=QUARTILE(Data!AA$4:AA$153,1),1,IF(Data!AA36&lt;=MEDIAN(Data!AA$4:AA$153),2,IF(Data!AA36&lt;=QUARTILE(Data!AA$4:AA$153,3),3,4)))</f>
        <v>4</v>
      </c>
      <c r="AB36" s="8">
        <f>IF(Data!AB36&lt;=QUARTILE(Data!AB$4:AB$153,1),1,IF(Data!AB36&lt;=MEDIAN(Data!AB$4:AB$153),2,IF(Data!AB36&lt;=QUARTILE(Data!AB$4:AB$153,3),3,4)))</f>
        <v>4</v>
      </c>
      <c r="AC36" s="8">
        <f>IF(Data!AC36&lt;=QUARTILE(Data!AC$4:AC$153,1),1,IF(Data!AC36&lt;=MEDIAN(Data!AC$4:AC$153),2,IF(Data!AC36&lt;=QUARTILE(Data!AC$4:AC$153,3),3,4)))</f>
        <v>3</v>
      </c>
      <c r="AD36" s="8">
        <f>IF(Data!AD36&lt;=QUARTILE(Data!AD$4:AD$153,1),1,IF(Data!AD36&lt;=MEDIAN(Data!AD$4:AD$153),2,IF(Data!AD36&lt;=QUARTILE(Data!AD$4:AD$153,3),3,4)))</f>
        <v>3</v>
      </c>
      <c r="AE36" s="8">
        <f>IF(Data!AE36&lt;=QUARTILE(Data!AE$4:AE$153,1),1,IF(Data!AE36&lt;=MEDIAN(Data!AE$4:AE$153),2,IF(Data!AE36&lt;=QUARTILE(Data!AE$4:AE$153,3),3,4)))</f>
        <v>4</v>
      </c>
      <c r="AF36" s="8">
        <f>IF(Data!AF36&lt;=QUARTILE(Data!AF$4:AF$153,1),1,IF(Data!AF36&lt;=MEDIAN(Data!AF$4:AF$153),2,IF(Data!AF36&lt;=QUARTILE(Data!AF$4:AF$153,3),3,4)))</f>
        <v>2</v>
      </c>
      <c r="AG36" s="8">
        <f>IF(Data!AG36&lt;=QUARTILE(Data!AG$4:AG$153,1),1,IF(Data!AG36&lt;=MEDIAN(Data!AG$4:AG$153),2,IF(Data!AG36&lt;=QUARTILE(Data!AG$4:AG$153,3),3,4)))</f>
        <v>2</v>
      </c>
      <c r="AH36" s="9">
        <f>IF(Data!AH36&lt;=QUARTILE(Data!AH$4:AH$153,1),1,IF(Data!AH36&lt;=MEDIAN(Data!AH$4:AH$153),2,IF(Data!AH36&lt;=QUARTILE(Data!AH$4:AH$153,3),3,4)))</f>
        <v>3</v>
      </c>
    </row>
    <row r="37" spans="1:34" x14ac:dyDescent="0.25">
      <c r="A37" s="7" t="s">
        <v>53</v>
      </c>
      <c r="B37" s="14" t="s">
        <v>57</v>
      </c>
      <c r="C37" s="7">
        <v>33</v>
      </c>
      <c r="D37" s="8">
        <v>49</v>
      </c>
      <c r="E37" s="42" t="s">
        <v>59</v>
      </c>
      <c r="F37" s="9">
        <v>-3.19</v>
      </c>
      <c r="G37" s="7">
        <f>IF(Data!G37&lt;=QUARTILE(Data!G$4:G$153,1),1,IF(Data!G37&lt;=MEDIAN(Data!G$4:G$153),2,IF(Data!G37&lt;=QUARTILE(Data!G$4:G$153,3),3,4)))</f>
        <v>3</v>
      </c>
      <c r="H37" s="8">
        <f>IF(Data!H37&lt;=QUARTILE(Data!H$4:H$153,1),1,IF(Data!H37&lt;=MEDIAN(Data!H$4:H$153),2,IF(Data!H37&lt;=QUARTILE(Data!H$4:H$153,3),3,4)))</f>
        <v>4</v>
      </c>
      <c r="I37" s="8">
        <f>IF(Data!I37&lt;=QUARTILE(Data!I$4:I$153,1),1,IF(Data!I37&lt;=MEDIAN(Data!I$4:I$153),2,IF(Data!I37&lt;=QUARTILE(Data!I$4:I$153,3),3,4)))</f>
        <v>2</v>
      </c>
      <c r="J37" s="8">
        <f>IF(Data!J37&lt;=QUARTILE(Data!J$4:J$153,1),1,IF(Data!J37&lt;=MEDIAN(Data!J$4:J$153),2,IF(Data!J37&lt;=QUARTILE(Data!J$4:J$153,3),3,4)))</f>
        <v>2</v>
      </c>
      <c r="K37" s="8">
        <f>IF(Data!K37&lt;=QUARTILE(Data!K$4:K$153,1),1,IF(Data!K37&lt;=MEDIAN(Data!K$4:K$153),2,IF(Data!K37&lt;=QUARTILE(Data!K$4:K$153,3),3,4)))</f>
        <v>2</v>
      </c>
      <c r="L37" s="8">
        <f>IF(Data!L37&lt;=QUARTILE(Data!L$4:L$153,1),1,IF(Data!L37&lt;=MEDIAN(Data!L$4:L$153),2,IF(Data!L37&lt;=QUARTILE(Data!L$4:L$153,3),3,4)))</f>
        <v>2</v>
      </c>
      <c r="M37" s="8">
        <f>IF(Data!M37&lt;=QUARTILE(Data!M$4:M$153,1),1,IF(Data!M37&lt;=MEDIAN(Data!M$4:M$153),2,IF(Data!M37&lt;=QUARTILE(Data!M$4:M$153,3),3,4)))</f>
        <v>4</v>
      </c>
      <c r="N37" s="8">
        <f>IF(Data!N37&lt;=QUARTILE(Data!N$4:N$153,1),1,IF(Data!N37&lt;=MEDIAN(Data!N$4:N$153),2,IF(Data!N37&lt;=QUARTILE(Data!N$4:N$153,3),3,4)))</f>
        <v>3</v>
      </c>
      <c r="O37" s="8">
        <f>IF(Data!O37&lt;=QUARTILE(Data!O$4:O$153,1),1,IF(Data!O37&lt;=MEDIAN(Data!O$4:O$153),2,IF(Data!O37&lt;=QUARTILE(Data!O$4:O$153,3),3,4)))</f>
        <v>3</v>
      </c>
      <c r="P37" s="8">
        <f>IF(Data!P37&lt;=QUARTILE(Data!P$4:P$153,1),1,IF(Data!P37&lt;=MEDIAN(Data!P$4:P$153),2,IF(Data!P37&lt;=QUARTILE(Data!P$4:P$153,3),3,4)))</f>
        <v>4</v>
      </c>
      <c r="Q37" s="8">
        <f>IF(Data!Q37&lt;=QUARTILE(Data!Q$4:Q$153,1),1,IF(Data!Q37&lt;=MEDIAN(Data!Q$4:Q$153),2,IF(Data!Q37&lt;=QUARTILE(Data!Q$4:Q$153,3),3,4)))</f>
        <v>3</v>
      </c>
      <c r="R37" s="8">
        <f>IF(Data!R37&lt;=QUARTILE(Data!R$4:R$153,1),1,IF(Data!R37&lt;=MEDIAN(Data!R$4:R$153),2,IF(Data!R37&lt;=QUARTILE(Data!R$4:R$153,3),3,4)))</f>
        <v>3</v>
      </c>
      <c r="S37" s="8">
        <f>IF(Data!S37&lt;=QUARTILE(Data!S$4:S$153,1),1,IF(Data!S37&lt;=MEDIAN(Data!S$4:S$153),2,IF(Data!S37&lt;=QUARTILE(Data!S$4:S$153,3),3,4)))</f>
        <v>2</v>
      </c>
      <c r="T37" s="9">
        <f>IF(Data!T37&lt;=QUARTILE(Data!T$4:T$153,1),1,IF(Data!T37&lt;=MEDIAN(Data!T$4:T$153),2,IF(Data!T37&lt;=QUARTILE(Data!T$4:T$153,3),3,4)))</f>
        <v>2</v>
      </c>
      <c r="U37" s="7">
        <f>IF(Data!U37&lt;=QUARTILE(Data!U$4:U$153,1),1,IF(Data!U37&lt;=MEDIAN(Data!U$4:U$153),2,IF(Data!U37&lt;=QUARTILE(Data!U$4:U$153,3),3,4)))</f>
        <v>2</v>
      </c>
      <c r="V37" s="8">
        <f>IF(Data!V37&lt;=QUARTILE(Data!V$4:V$153,1),1,IF(Data!V37&lt;=MEDIAN(Data!V$4:V$153),2,IF(Data!V37&lt;=QUARTILE(Data!V$4:V$153,3),3,4)))</f>
        <v>3</v>
      </c>
      <c r="W37" s="8">
        <f>IF(Data!W37&lt;=QUARTILE(Data!W$4:W$153,1),1,IF(Data!W37&lt;=MEDIAN(Data!W$4:W$153),2,IF(Data!W37&lt;=QUARTILE(Data!W$4:W$153,3),3,4)))</f>
        <v>4</v>
      </c>
      <c r="X37" s="8">
        <f>IF(Data!X37&lt;=QUARTILE(Data!X$4:X$153,1),1,IF(Data!X37&lt;=MEDIAN(Data!X$4:X$153),2,IF(Data!X37&lt;=QUARTILE(Data!X$4:X$153,3),3,4)))</f>
        <v>4</v>
      </c>
      <c r="Y37" s="8">
        <f>IF(Data!Y37&lt;=QUARTILE(Data!Y$4:Y$153,1),1,IF(Data!Y37&lt;=MEDIAN(Data!Y$4:Y$153),2,IF(Data!Y37&lt;=QUARTILE(Data!Y$4:Y$153,3),3,4)))</f>
        <v>4</v>
      </c>
      <c r="Z37" s="8">
        <f>IF(Data!Z37&lt;=QUARTILE(Data!Z$4:Z$153,1),1,IF(Data!Z37&lt;=MEDIAN(Data!Z$4:Z$153),2,IF(Data!Z37&lt;=QUARTILE(Data!Z$4:Z$153,3),3,4)))</f>
        <v>3</v>
      </c>
      <c r="AA37" s="8">
        <f>IF(Data!AA37&lt;=QUARTILE(Data!AA$4:AA$153,1),1,IF(Data!AA37&lt;=MEDIAN(Data!AA$4:AA$153),2,IF(Data!AA37&lt;=QUARTILE(Data!AA$4:AA$153,3),3,4)))</f>
        <v>2</v>
      </c>
      <c r="AB37" s="8">
        <f>IF(Data!AB37&lt;=QUARTILE(Data!AB$4:AB$153,1),1,IF(Data!AB37&lt;=MEDIAN(Data!AB$4:AB$153),2,IF(Data!AB37&lt;=QUARTILE(Data!AB$4:AB$153,3),3,4)))</f>
        <v>4</v>
      </c>
      <c r="AC37" s="8">
        <f>IF(Data!AC37&lt;=QUARTILE(Data!AC$4:AC$153,1),1,IF(Data!AC37&lt;=MEDIAN(Data!AC$4:AC$153),2,IF(Data!AC37&lt;=QUARTILE(Data!AC$4:AC$153,3),3,4)))</f>
        <v>3</v>
      </c>
      <c r="AD37" s="8">
        <f>IF(Data!AD37&lt;=QUARTILE(Data!AD$4:AD$153,1),1,IF(Data!AD37&lt;=MEDIAN(Data!AD$4:AD$153),2,IF(Data!AD37&lt;=QUARTILE(Data!AD$4:AD$153,3),3,4)))</f>
        <v>4</v>
      </c>
      <c r="AE37" s="8">
        <f>IF(Data!AE37&lt;=QUARTILE(Data!AE$4:AE$153,1),1,IF(Data!AE37&lt;=MEDIAN(Data!AE$4:AE$153),2,IF(Data!AE37&lt;=QUARTILE(Data!AE$4:AE$153,3),3,4)))</f>
        <v>4</v>
      </c>
      <c r="AF37" s="8">
        <f>IF(Data!AF37&lt;=QUARTILE(Data!AF$4:AF$153,1),1,IF(Data!AF37&lt;=MEDIAN(Data!AF$4:AF$153),2,IF(Data!AF37&lt;=QUARTILE(Data!AF$4:AF$153,3),3,4)))</f>
        <v>4</v>
      </c>
      <c r="AG37" s="8">
        <f>IF(Data!AG37&lt;=QUARTILE(Data!AG$4:AG$153,1),1,IF(Data!AG37&lt;=MEDIAN(Data!AG$4:AG$153),2,IF(Data!AG37&lt;=QUARTILE(Data!AG$4:AG$153,3),3,4)))</f>
        <v>2</v>
      </c>
      <c r="AH37" s="9">
        <f>IF(Data!AH37&lt;=QUARTILE(Data!AH$4:AH$153,1),1,IF(Data!AH37&lt;=MEDIAN(Data!AH$4:AH$153),2,IF(Data!AH37&lt;=QUARTILE(Data!AH$4:AH$153,3),3,4)))</f>
        <v>3</v>
      </c>
    </row>
    <row r="38" spans="1:34" x14ac:dyDescent="0.25">
      <c r="A38" s="7" t="s">
        <v>69</v>
      </c>
      <c r="B38" s="14" t="s">
        <v>57</v>
      </c>
      <c r="C38" s="7">
        <v>45</v>
      </c>
      <c r="D38" s="8">
        <v>37</v>
      </c>
      <c r="E38" s="42" t="s">
        <v>58</v>
      </c>
      <c r="F38" s="9">
        <v>-0.53</v>
      </c>
      <c r="G38" s="7">
        <f>IF(Data!G38&lt;=QUARTILE(Data!G$4:G$153,1),1,IF(Data!G38&lt;=MEDIAN(Data!G$4:G$153),2,IF(Data!G38&lt;=QUARTILE(Data!G$4:G$153,3),3,4)))</f>
        <v>2</v>
      </c>
      <c r="H38" s="8">
        <f>IF(Data!H38&lt;=QUARTILE(Data!H$4:H$153,1),1,IF(Data!H38&lt;=MEDIAN(Data!H$4:H$153),2,IF(Data!H38&lt;=QUARTILE(Data!H$4:H$153,3),3,4)))</f>
        <v>3</v>
      </c>
      <c r="I38" s="8">
        <f>IF(Data!I38&lt;=QUARTILE(Data!I$4:I$153,1),1,IF(Data!I38&lt;=MEDIAN(Data!I$4:I$153),2,IF(Data!I38&lt;=QUARTILE(Data!I$4:I$153,3),3,4)))</f>
        <v>3</v>
      </c>
      <c r="J38" s="8">
        <f>IF(Data!J38&lt;=QUARTILE(Data!J$4:J$153,1),1,IF(Data!J38&lt;=MEDIAN(Data!J$4:J$153),2,IF(Data!J38&lt;=QUARTILE(Data!J$4:J$153,3),3,4)))</f>
        <v>3</v>
      </c>
      <c r="K38" s="8">
        <f>IF(Data!K38&lt;=QUARTILE(Data!K$4:K$153,1),1,IF(Data!K38&lt;=MEDIAN(Data!K$4:K$153),2,IF(Data!K38&lt;=QUARTILE(Data!K$4:K$153,3),3,4)))</f>
        <v>1</v>
      </c>
      <c r="L38" s="8">
        <f>IF(Data!L38&lt;=QUARTILE(Data!L$4:L$153,1),1,IF(Data!L38&lt;=MEDIAN(Data!L$4:L$153),2,IF(Data!L38&lt;=QUARTILE(Data!L$4:L$153,3),3,4)))</f>
        <v>2</v>
      </c>
      <c r="M38" s="8">
        <f>IF(Data!M38&lt;=QUARTILE(Data!M$4:M$153,1),1,IF(Data!M38&lt;=MEDIAN(Data!M$4:M$153),2,IF(Data!M38&lt;=QUARTILE(Data!M$4:M$153,3),3,4)))</f>
        <v>4</v>
      </c>
      <c r="N38" s="8">
        <f>IF(Data!N38&lt;=QUARTILE(Data!N$4:N$153,1),1,IF(Data!N38&lt;=MEDIAN(Data!N$4:N$153),2,IF(Data!N38&lt;=QUARTILE(Data!N$4:N$153,3),3,4)))</f>
        <v>4</v>
      </c>
      <c r="O38" s="8">
        <f>IF(Data!O38&lt;=QUARTILE(Data!O$4:O$153,1),1,IF(Data!O38&lt;=MEDIAN(Data!O$4:O$153),2,IF(Data!O38&lt;=QUARTILE(Data!O$4:O$153,3),3,4)))</f>
        <v>1</v>
      </c>
      <c r="P38" s="8">
        <f>IF(Data!P38&lt;=QUARTILE(Data!P$4:P$153,1),1,IF(Data!P38&lt;=MEDIAN(Data!P$4:P$153),2,IF(Data!P38&lt;=QUARTILE(Data!P$4:P$153,3),3,4)))</f>
        <v>2</v>
      </c>
      <c r="Q38" s="8">
        <f>IF(Data!Q38&lt;=QUARTILE(Data!Q$4:Q$153,1),1,IF(Data!Q38&lt;=MEDIAN(Data!Q$4:Q$153),2,IF(Data!Q38&lt;=QUARTILE(Data!Q$4:Q$153,3),3,4)))</f>
        <v>3</v>
      </c>
      <c r="R38" s="8">
        <f>IF(Data!R38&lt;=QUARTILE(Data!R$4:R$153,1),1,IF(Data!R38&lt;=MEDIAN(Data!R$4:R$153),2,IF(Data!R38&lt;=QUARTILE(Data!R$4:R$153,3),3,4)))</f>
        <v>2</v>
      </c>
      <c r="S38" s="8">
        <f>IF(Data!S38&lt;=QUARTILE(Data!S$4:S$153,1),1,IF(Data!S38&lt;=MEDIAN(Data!S$4:S$153),2,IF(Data!S38&lt;=QUARTILE(Data!S$4:S$153,3),3,4)))</f>
        <v>2</v>
      </c>
      <c r="T38" s="9">
        <f>IF(Data!T38&lt;=QUARTILE(Data!T$4:T$153,1),1,IF(Data!T38&lt;=MEDIAN(Data!T$4:T$153),2,IF(Data!T38&lt;=QUARTILE(Data!T$4:T$153,3),3,4)))</f>
        <v>2</v>
      </c>
      <c r="U38" s="7">
        <f>IF(Data!U38&lt;=QUARTILE(Data!U$4:U$153,1),1,IF(Data!U38&lt;=MEDIAN(Data!U$4:U$153),2,IF(Data!U38&lt;=QUARTILE(Data!U$4:U$153,3),3,4)))</f>
        <v>2</v>
      </c>
      <c r="V38" s="8">
        <f>IF(Data!V38&lt;=QUARTILE(Data!V$4:V$153,1),1,IF(Data!V38&lt;=MEDIAN(Data!V$4:V$153),2,IF(Data!V38&lt;=QUARTILE(Data!V$4:V$153,3),3,4)))</f>
        <v>2</v>
      </c>
      <c r="W38" s="8">
        <f>IF(Data!W38&lt;=QUARTILE(Data!W$4:W$153,1),1,IF(Data!W38&lt;=MEDIAN(Data!W$4:W$153),2,IF(Data!W38&lt;=QUARTILE(Data!W$4:W$153,3),3,4)))</f>
        <v>3</v>
      </c>
      <c r="X38" s="8">
        <f>IF(Data!X38&lt;=QUARTILE(Data!X$4:X$153,1),1,IF(Data!X38&lt;=MEDIAN(Data!X$4:X$153),2,IF(Data!X38&lt;=QUARTILE(Data!X$4:X$153,3),3,4)))</f>
        <v>3</v>
      </c>
      <c r="Y38" s="8">
        <f>IF(Data!Y38&lt;=QUARTILE(Data!Y$4:Y$153,1),1,IF(Data!Y38&lt;=MEDIAN(Data!Y$4:Y$153),2,IF(Data!Y38&lt;=QUARTILE(Data!Y$4:Y$153,3),3,4)))</f>
        <v>2</v>
      </c>
      <c r="Z38" s="8">
        <f>IF(Data!Z38&lt;=QUARTILE(Data!Z$4:Z$153,1),1,IF(Data!Z38&lt;=MEDIAN(Data!Z$4:Z$153),2,IF(Data!Z38&lt;=QUARTILE(Data!Z$4:Z$153,3),3,4)))</f>
        <v>2</v>
      </c>
      <c r="AA38" s="8">
        <f>IF(Data!AA38&lt;=QUARTILE(Data!AA$4:AA$153,1),1,IF(Data!AA38&lt;=MEDIAN(Data!AA$4:AA$153),2,IF(Data!AA38&lt;=QUARTILE(Data!AA$4:AA$153,3),3,4)))</f>
        <v>1</v>
      </c>
      <c r="AB38" s="8">
        <f>IF(Data!AB38&lt;=QUARTILE(Data!AB$4:AB$153,1),1,IF(Data!AB38&lt;=MEDIAN(Data!AB$4:AB$153),2,IF(Data!AB38&lt;=QUARTILE(Data!AB$4:AB$153,3),3,4)))</f>
        <v>3</v>
      </c>
      <c r="AC38" s="8">
        <f>IF(Data!AC38&lt;=QUARTILE(Data!AC$4:AC$153,1),1,IF(Data!AC38&lt;=MEDIAN(Data!AC$4:AC$153),2,IF(Data!AC38&lt;=QUARTILE(Data!AC$4:AC$153,3),3,4)))</f>
        <v>2</v>
      </c>
      <c r="AD38" s="8">
        <f>IF(Data!AD38&lt;=QUARTILE(Data!AD$4:AD$153,1),1,IF(Data!AD38&lt;=MEDIAN(Data!AD$4:AD$153),2,IF(Data!AD38&lt;=QUARTILE(Data!AD$4:AD$153,3),3,4)))</f>
        <v>1</v>
      </c>
      <c r="AE38" s="8">
        <f>IF(Data!AE38&lt;=QUARTILE(Data!AE$4:AE$153,1),1,IF(Data!AE38&lt;=MEDIAN(Data!AE$4:AE$153),2,IF(Data!AE38&lt;=QUARTILE(Data!AE$4:AE$153,3),3,4)))</f>
        <v>2</v>
      </c>
      <c r="AF38" s="8">
        <f>IF(Data!AF38&lt;=QUARTILE(Data!AF$4:AF$153,1),1,IF(Data!AF38&lt;=MEDIAN(Data!AF$4:AF$153),2,IF(Data!AF38&lt;=QUARTILE(Data!AF$4:AF$153,3),3,4)))</f>
        <v>1</v>
      </c>
      <c r="AG38" s="8">
        <f>IF(Data!AG38&lt;=QUARTILE(Data!AG$4:AG$153,1),1,IF(Data!AG38&lt;=MEDIAN(Data!AG$4:AG$153),2,IF(Data!AG38&lt;=QUARTILE(Data!AG$4:AG$153,3),3,4)))</f>
        <v>1</v>
      </c>
      <c r="AH38" s="9">
        <f>IF(Data!AH38&lt;=QUARTILE(Data!AH$4:AH$153,1),1,IF(Data!AH38&lt;=MEDIAN(Data!AH$4:AH$153),2,IF(Data!AH38&lt;=QUARTILE(Data!AH$4:AH$153,3),3,4)))</f>
        <v>2</v>
      </c>
    </row>
    <row r="39" spans="1:34" x14ac:dyDescent="0.25">
      <c r="A39" s="7" t="s">
        <v>73</v>
      </c>
      <c r="B39" s="14" t="s">
        <v>57</v>
      </c>
      <c r="C39" s="7">
        <v>51</v>
      </c>
      <c r="D39" s="8">
        <v>31</v>
      </c>
      <c r="E39" s="42" t="s">
        <v>58</v>
      </c>
      <c r="F39" s="9">
        <v>4.7</v>
      </c>
      <c r="G39" s="7">
        <f>IF(Data!G39&lt;=QUARTILE(Data!G$4:G$153,1),1,IF(Data!G39&lt;=MEDIAN(Data!G$4:G$153),2,IF(Data!G39&lt;=QUARTILE(Data!G$4:G$153,3),3,4)))</f>
        <v>3</v>
      </c>
      <c r="H39" s="8">
        <f>IF(Data!H39&lt;=QUARTILE(Data!H$4:H$153,1),1,IF(Data!H39&lt;=MEDIAN(Data!H$4:H$153),2,IF(Data!H39&lt;=QUARTILE(Data!H$4:H$153,3),3,4)))</f>
        <v>2</v>
      </c>
      <c r="I39" s="8">
        <f>IF(Data!I39&lt;=QUARTILE(Data!I$4:I$153,1),1,IF(Data!I39&lt;=MEDIAN(Data!I$4:I$153),2,IF(Data!I39&lt;=QUARTILE(Data!I$4:I$153,3),3,4)))</f>
        <v>2</v>
      </c>
      <c r="J39" s="8">
        <f>IF(Data!J39&lt;=QUARTILE(Data!J$4:J$153,1),1,IF(Data!J39&lt;=MEDIAN(Data!J$4:J$153),2,IF(Data!J39&lt;=QUARTILE(Data!J$4:J$153,3),3,4)))</f>
        <v>2</v>
      </c>
      <c r="K39" s="8">
        <f>IF(Data!K39&lt;=QUARTILE(Data!K$4:K$153,1),1,IF(Data!K39&lt;=MEDIAN(Data!K$4:K$153),2,IF(Data!K39&lt;=QUARTILE(Data!K$4:K$153,3),3,4)))</f>
        <v>4</v>
      </c>
      <c r="L39" s="8">
        <f>IF(Data!L39&lt;=QUARTILE(Data!L$4:L$153,1),1,IF(Data!L39&lt;=MEDIAN(Data!L$4:L$153),2,IF(Data!L39&lt;=QUARTILE(Data!L$4:L$153,3),3,4)))</f>
        <v>2</v>
      </c>
      <c r="M39" s="8">
        <f>IF(Data!M39&lt;=QUARTILE(Data!M$4:M$153,1),1,IF(Data!M39&lt;=MEDIAN(Data!M$4:M$153),2,IF(Data!M39&lt;=QUARTILE(Data!M$4:M$153,3),3,4)))</f>
        <v>2</v>
      </c>
      <c r="N39" s="8">
        <f>IF(Data!N39&lt;=QUARTILE(Data!N$4:N$153,1),1,IF(Data!N39&lt;=MEDIAN(Data!N$4:N$153),2,IF(Data!N39&lt;=QUARTILE(Data!N$4:N$153,3),3,4)))</f>
        <v>4</v>
      </c>
      <c r="O39" s="8">
        <f>IF(Data!O39&lt;=QUARTILE(Data!O$4:O$153,1),1,IF(Data!O39&lt;=MEDIAN(Data!O$4:O$153),2,IF(Data!O39&lt;=QUARTILE(Data!O$4:O$153,3),3,4)))</f>
        <v>2</v>
      </c>
      <c r="P39" s="8">
        <f>IF(Data!P39&lt;=QUARTILE(Data!P$4:P$153,1),1,IF(Data!P39&lt;=MEDIAN(Data!P$4:P$153),2,IF(Data!P39&lt;=QUARTILE(Data!P$4:P$153,3),3,4)))</f>
        <v>1</v>
      </c>
      <c r="Q39" s="8">
        <f>IF(Data!Q39&lt;=QUARTILE(Data!Q$4:Q$153,1),1,IF(Data!Q39&lt;=MEDIAN(Data!Q$4:Q$153),2,IF(Data!Q39&lt;=QUARTILE(Data!Q$4:Q$153,3),3,4)))</f>
        <v>3</v>
      </c>
      <c r="R39" s="8">
        <f>IF(Data!R39&lt;=QUARTILE(Data!R$4:R$153,1),1,IF(Data!R39&lt;=MEDIAN(Data!R$4:R$153),2,IF(Data!R39&lt;=QUARTILE(Data!R$4:R$153,3),3,4)))</f>
        <v>1</v>
      </c>
      <c r="S39" s="8">
        <f>IF(Data!S39&lt;=QUARTILE(Data!S$4:S$153,1),1,IF(Data!S39&lt;=MEDIAN(Data!S$4:S$153),2,IF(Data!S39&lt;=QUARTILE(Data!S$4:S$153,3),3,4)))</f>
        <v>2</v>
      </c>
      <c r="T39" s="9">
        <f>IF(Data!T39&lt;=QUARTILE(Data!T$4:T$153,1),1,IF(Data!T39&lt;=MEDIAN(Data!T$4:T$153),2,IF(Data!T39&lt;=QUARTILE(Data!T$4:T$153,3),3,4)))</f>
        <v>3</v>
      </c>
      <c r="U39" s="7">
        <f>IF(Data!U39&lt;=QUARTILE(Data!U$4:U$153,1),1,IF(Data!U39&lt;=MEDIAN(Data!U$4:U$153),2,IF(Data!U39&lt;=QUARTILE(Data!U$4:U$153,3),3,4)))</f>
        <v>2</v>
      </c>
      <c r="V39" s="8">
        <f>IF(Data!V39&lt;=QUARTILE(Data!V$4:V$153,1),1,IF(Data!V39&lt;=MEDIAN(Data!V$4:V$153),2,IF(Data!V39&lt;=QUARTILE(Data!V$4:V$153,3),3,4)))</f>
        <v>3</v>
      </c>
      <c r="W39" s="8">
        <f>IF(Data!W39&lt;=QUARTILE(Data!W$4:W$153,1),1,IF(Data!W39&lt;=MEDIAN(Data!W$4:W$153),2,IF(Data!W39&lt;=QUARTILE(Data!W$4:W$153,3),3,4)))</f>
        <v>1</v>
      </c>
      <c r="X39" s="8">
        <f>IF(Data!X39&lt;=QUARTILE(Data!X$4:X$153,1),1,IF(Data!X39&lt;=MEDIAN(Data!X$4:X$153),2,IF(Data!X39&lt;=QUARTILE(Data!X$4:X$153,3),3,4)))</f>
        <v>1</v>
      </c>
      <c r="Y39" s="8">
        <f>IF(Data!Y39&lt;=QUARTILE(Data!Y$4:Y$153,1),1,IF(Data!Y39&lt;=MEDIAN(Data!Y$4:Y$153),2,IF(Data!Y39&lt;=QUARTILE(Data!Y$4:Y$153,3),3,4)))</f>
        <v>3</v>
      </c>
      <c r="Z39" s="8">
        <f>IF(Data!Z39&lt;=QUARTILE(Data!Z$4:Z$153,1),1,IF(Data!Z39&lt;=MEDIAN(Data!Z$4:Z$153),2,IF(Data!Z39&lt;=QUARTILE(Data!Z$4:Z$153,3),3,4)))</f>
        <v>3</v>
      </c>
      <c r="AA39" s="8">
        <f>IF(Data!AA39&lt;=QUARTILE(Data!AA$4:AA$153,1),1,IF(Data!AA39&lt;=MEDIAN(Data!AA$4:AA$153),2,IF(Data!AA39&lt;=QUARTILE(Data!AA$4:AA$153,3),3,4)))</f>
        <v>2</v>
      </c>
      <c r="AB39" s="8">
        <f>IF(Data!AB39&lt;=QUARTILE(Data!AB$4:AB$153,1),1,IF(Data!AB39&lt;=MEDIAN(Data!AB$4:AB$153),2,IF(Data!AB39&lt;=QUARTILE(Data!AB$4:AB$153,3),3,4)))</f>
        <v>2</v>
      </c>
      <c r="AC39" s="8">
        <f>IF(Data!AC39&lt;=QUARTILE(Data!AC$4:AC$153,1),1,IF(Data!AC39&lt;=MEDIAN(Data!AC$4:AC$153),2,IF(Data!AC39&lt;=QUARTILE(Data!AC$4:AC$153,3),3,4)))</f>
        <v>1</v>
      </c>
      <c r="AD39" s="8">
        <f>IF(Data!AD39&lt;=QUARTILE(Data!AD$4:AD$153,1),1,IF(Data!AD39&lt;=MEDIAN(Data!AD$4:AD$153),2,IF(Data!AD39&lt;=QUARTILE(Data!AD$4:AD$153,3),3,4)))</f>
        <v>1</v>
      </c>
      <c r="AE39" s="8">
        <f>IF(Data!AE39&lt;=QUARTILE(Data!AE$4:AE$153,1),1,IF(Data!AE39&lt;=MEDIAN(Data!AE$4:AE$153),2,IF(Data!AE39&lt;=QUARTILE(Data!AE$4:AE$153,3),3,4)))</f>
        <v>2</v>
      </c>
      <c r="AF39" s="8">
        <f>IF(Data!AF39&lt;=QUARTILE(Data!AF$4:AF$153,1),1,IF(Data!AF39&lt;=MEDIAN(Data!AF$4:AF$153),2,IF(Data!AF39&lt;=QUARTILE(Data!AF$4:AF$153,3),3,4)))</f>
        <v>1</v>
      </c>
      <c r="AG39" s="8">
        <f>IF(Data!AG39&lt;=QUARTILE(Data!AG$4:AG$153,1),1,IF(Data!AG39&lt;=MEDIAN(Data!AG$4:AG$153),2,IF(Data!AG39&lt;=QUARTILE(Data!AG$4:AG$153,3),3,4)))</f>
        <v>2</v>
      </c>
      <c r="AH39" s="9">
        <f>IF(Data!AH39&lt;=QUARTILE(Data!AH$4:AH$153,1),1,IF(Data!AH39&lt;=MEDIAN(Data!AH$4:AH$153),2,IF(Data!AH39&lt;=QUARTILE(Data!AH$4:AH$153,3),3,4)))</f>
        <v>2</v>
      </c>
    </row>
    <row r="40" spans="1:34" x14ac:dyDescent="0.25">
      <c r="A40" s="7" t="s">
        <v>74</v>
      </c>
      <c r="B40" s="14" t="s">
        <v>57</v>
      </c>
      <c r="C40" s="7">
        <v>50</v>
      </c>
      <c r="D40" s="8">
        <v>32</v>
      </c>
      <c r="E40" s="42" t="s">
        <v>58</v>
      </c>
      <c r="F40" s="9">
        <v>3.74</v>
      </c>
      <c r="G40" s="7">
        <f>IF(Data!G40&lt;=QUARTILE(Data!G$4:G$153,1),1,IF(Data!G40&lt;=MEDIAN(Data!G$4:G$153),2,IF(Data!G40&lt;=QUARTILE(Data!G$4:G$153,3),3,4)))</f>
        <v>4</v>
      </c>
      <c r="H40" s="8">
        <f>IF(Data!H40&lt;=QUARTILE(Data!H$4:H$153,1),1,IF(Data!H40&lt;=MEDIAN(Data!H$4:H$153),2,IF(Data!H40&lt;=QUARTILE(Data!H$4:H$153,3),3,4)))</f>
        <v>4</v>
      </c>
      <c r="I40" s="8">
        <f>IF(Data!I40&lt;=QUARTILE(Data!I$4:I$153,1),1,IF(Data!I40&lt;=MEDIAN(Data!I$4:I$153),2,IF(Data!I40&lt;=QUARTILE(Data!I$4:I$153,3),3,4)))</f>
        <v>3</v>
      </c>
      <c r="J40" s="8">
        <f>IF(Data!J40&lt;=QUARTILE(Data!J$4:J$153,1),1,IF(Data!J40&lt;=MEDIAN(Data!J$4:J$153),2,IF(Data!J40&lt;=QUARTILE(Data!J$4:J$153,3),3,4)))</f>
        <v>4</v>
      </c>
      <c r="K40" s="8">
        <f>IF(Data!K40&lt;=QUARTILE(Data!K$4:K$153,1),1,IF(Data!K40&lt;=MEDIAN(Data!K$4:K$153),2,IF(Data!K40&lt;=QUARTILE(Data!K$4:K$153,3),3,4)))</f>
        <v>4</v>
      </c>
      <c r="L40" s="8">
        <f>IF(Data!L40&lt;=QUARTILE(Data!L$4:L$153,1),1,IF(Data!L40&lt;=MEDIAN(Data!L$4:L$153),2,IF(Data!L40&lt;=QUARTILE(Data!L$4:L$153,3),3,4)))</f>
        <v>4</v>
      </c>
      <c r="M40" s="8">
        <f>IF(Data!M40&lt;=QUARTILE(Data!M$4:M$153,1),1,IF(Data!M40&lt;=MEDIAN(Data!M$4:M$153),2,IF(Data!M40&lt;=QUARTILE(Data!M$4:M$153,3),3,4)))</f>
        <v>2</v>
      </c>
      <c r="N40" s="8">
        <f>IF(Data!N40&lt;=QUARTILE(Data!N$4:N$153,1),1,IF(Data!N40&lt;=MEDIAN(Data!N$4:N$153),2,IF(Data!N40&lt;=QUARTILE(Data!N$4:N$153,3),3,4)))</f>
        <v>4</v>
      </c>
      <c r="O40" s="8">
        <f>IF(Data!O40&lt;=QUARTILE(Data!O$4:O$153,1),1,IF(Data!O40&lt;=MEDIAN(Data!O$4:O$153),2,IF(Data!O40&lt;=QUARTILE(Data!O$4:O$153,3),3,4)))</f>
        <v>4</v>
      </c>
      <c r="P40" s="8">
        <f>IF(Data!P40&lt;=QUARTILE(Data!P$4:P$153,1),1,IF(Data!P40&lt;=MEDIAN(Data!P$4:P$153),2,IF(Data!P40&lt;=QUARTILE(Data!P$4:P$153,3),3,4)))</f>
        <v>4</v>
      </c>
      <c r="Q40" s="8">
        <f>IF(Data!Q40&lt;=QUARTILE(Data!Q$4:Q$153,1),1,IF(Data!Q40&lt;=MEDIAN(Data!Q$4:Q$153),2,IF(Data!Q40&lt;=QUARTILE(Data!Q$4:Q$153,3),3,4)))</f>
        <v>4</v>
      </c>
      <c r="R40" s="8">
        <f>IF(Data!R40&lt;=QUARTILE(Data!R$4:R$153,1),1,IF(Data!R40&lt;=MEDIAN(Data!R$4:R$153),2,IF(Data!R40&lt;=QUARTILE(Data!R$4:R$153,3),3,4)))</f>
        <v>3</v>
      </c>
      <c r="S40" s="8">
        <f>IF(Data!S40&lt;=QUARTILE(Data!S$4:S$153,1),1,IF(Data!S40&lt;=MEDIAN(Data!S$4:S$153),2,IF(Data!S40&lt;=QUARTILE(Data!S$4:S$153,3),3,4)))</f>
        <v>2</v>
      </c>
      <c r="T40" s="9">
        <f>IF(Data!T40&lt;=QUARTILE(Data!T$4:T$153,1),1,IF(Data!T40&lt;=MEDIAN(Data!T$4:T$153),2,IF(Data!T40&lt;=QUARTILE(Data!T$4:T$153,3),3,4)))</f>
        <v>4</v>
      </c>
      <c r="U40" s="7">
        <f>IF(Data!U40&lt;=QUARTILE(Data!U$4:U$153,1),1,IF(Data!U40&lt;=MEDIAN(Data!U$4:U$153),2,IF(Data!U40&lt;=QUARTILE(Data!U$4:U$153,3),3,4)))</f>
        <v>4</v>
      </c>
      <c r="V40" s="8">
        <f>IF(Data!V40&lt;=QUARTILE(Data!V$4:V$153,1),1,IF(Data!V40&lt;=MEDIAN(Data!V$4:V$153),2,IF(Data!V40&lt;=QUARTILE(Data!V$4:V$153,3),3,4)))</f>
        <v>4</v>
      </c>
      <c r="W40" s="8">
        <f>IF(Data!W40&lt;=QUARTILE(Data!W$4:W$153,1),1,IF(Data!W40&lt;=MEDIAN(Data!W$4:W$153),2,IF(Data!W40&lt;=QUARTILE(Data!W$4:W$153,3),3,4)))</f>
        <v>4</v>
      </c>
      <c r="X40" s="8">
        <f>IF(Data!X40&lt;=QUARTILE(Data!X$4:X$153,1),1,IF(Data!X40&lt;=MEDIAN(Data!X$4:X$153),2,IF(Data!X40&lt;=QUARTILE(Data!X$4:X$153,3),3,4)))</f>
        <v>4</v>
      </c>
      <c r="Y40" s="8">
        <f>IF(Data!Y40&lt;=QUARTILE(Data!Y$4:Y$153,1),1,IF(Data!Y40&lt;=MEDIAN(Data!Y$4:Y$153),2,IF(Data!Y40&lt;=QUARTILE(Data!Y$4:Y$153,3),3,4)))</f>
        <v>2</v>
      </c>
      <c r="Z40" s="8">
        <f>IF(Data!Z40&lt;=QUARTILE(Data!Z$4:Z$153,1),1,IF(Data!Z40&lt;=MEDIAN(Data!Z$4:Z$153),2,IF(Data!Z40&lt;=QUARTILE(Data!Z$4:Z$153,3),3,4)))</f>
        <v>2</v>
      </c>
      <c r="AA40" s="8">
        <f>IF(Data!AA40&lt;=QUARTILE(Data!AA$4:AA$153,1),1,IF(Data!AA40&lt;=MEDIAN(Data!AA$4:AA$153),2,IF(Data!AA40&lt;=QUARTILE(Data!AA$4:AA$153,3),3,4)))</f>
        <v>4</v>
      </c>
      <c r="AB40" s="8">
        <f>IF(Data!AB40&lt;=QUARTILE(Data!AB$4:AB$153,1),1,IF(Data!AB40&lt;=MEDIAN(Data!AB$4:AB$153),2,IF(Data!AB40&lt;=QUARTILE(Data!AB$4:AB$153,3),3,4)))</f>
        <v>4</v>
      </c>
      <c r="AC40" s="8">
        <f>IF(Data!AC40&lt;=QUARTILE(Data!AC$4:AC$153,1),1,IF(Data!AC40&lt;=MEDIAN(Data!AC$4:AC$153),2,IF(Data!AC40&lt;=QUARTILE(Data!AC$4:AC$153,3),3,4)))</f>
        <v>4</v>
      </c>
      <c r="AD40" s="8">
        <f>IF(Data!AD40&lt;=QUARTILE(Data!AD$4:AD$153,1),1,IF(Data!AD40&lt;=MEDIAN(Data!AD$4:AD$153),2,IF(Data!AD40&lt;=QUARTILE(Data!AD$4:AD$153,3),3,4)))</f>
        <v>4</v>
      </c>
      <c r="AE40" s="8">
        <f>IF(Data!AE40&lt;=QUARTILE(Data!AE$4:AE$153,1),1,IF(Data!AE40&lt;=MEDIAN(Data!AE$4:AE$153),2,IF(Data!AE40&lt;=QUARTILE(Data!AE$4:AE$153,3),3,4)))</f>
        <v>2</v>
      </c>
      <c r="AF40" s="8">
        <f>IF(Data!AF40&lt;=QUARTILE(Data!AF$4:AF$153,1),1,IF(Data!AF40&lt;=MEDIAN(Data!AF$4:AF$153),2,IF(Data!AF40&lt;=QUARTILE(Data!AF$4:AF$153,3),3,4)))</f>
        <v>4</v>
      </c>
      <c r="AG40" s="8">
        <f>IF(Data!AG40&lt;=QUARTILE(Data!AG$4:AG$153,1),1,IF(Data!AG40&lt;=MEDIAN(Data!AG$4:AG$153),2,IF(Data!AG40&lt;=QUARTILE(Data!AG$4:AG$153,3),3,4)))</f>
        <v>4</v>
      </c>
      <c r="AH40" s="9">
        <f>IF(Data!AH40&lt;=QUARTILE(Data!AH$4:AH$153,1),1,IF(Data!AH40&lt;=MEDIAN(Data!AH$4:AH$153),2,IF(Data!AH40&lt;=QUARTILE(Data!AH$4:AH$153,3),3,4)))</f>
        <v>4</v>
      </c>
    </row>
    <row r="41" spans="1:34" x14ac:dyDescent="0.25">
      <c r="A41" s="7" t="s">
        <v>75</v>
      </c>
      <c r="B41" s="14" t="s">
        <v>57</v>
      </c>
      <c r="C41" s="7">
        <v>59</v>
      </c>
      <c r="D41" s="8">
        <v>23</v>
      </c>
      <c r="E41" s="42" t="s">
        <v>58</v>
      </c>
      <c r="F41" s="9">
        <v>6.67</v>
      </c>
      <c r="G41" s="7">
        <f>IF(Data!G41&lt;=QUARTILE(Data!G$4:G$153,1),1,IF(Data!G41&lt;=MEDIAN(Data!G$4:G$153),2,IF(Data!G41&lt;=QUARTILE(Data!G$4:G$153,3),3,4)))</f>
        <v>3</v>
      </c>
      <c r="H41" s="8">
        <f>IF(Data!H41&lt;=QUARTILE(Data!H$4:H$153,1),1,IF(Data!H41&lt;=MEDIAN(Data!H$4:H$153),2,IF(Data!H41&lt;=QUARTILE(Data!H$4:H$153,3),3,4)))</f>
        <v>2</v>
      </c>
      <c r="I41" s="8">
        <f>IF(Data!I41&lt;=QUARTILE(Data!I$4:I$153,1),1,IF(Data!I41&lt;=MEDIAN(Data!I$4:I$153),2,IF(Data!I41&lt;=QUARTILE(Data!I$4:I$153,3),3,4)))</f>
        <v>2</v>
      </c>
      <c r="J41" s="8">
        <f>IF(Data!J41&lt;=QUARTILE(Data!J$4:J$153,1),1,IF(Data!J41&lt;=MEDIAN(Data!J$4:J$153),2,IF(Data!J41&lt;=QUARTILE(Data!J$4:J$153,3),3,4)))</f>
        <v>2</v>
      </c>
      <c r="K41" s="8">
        <f>IF(Data!K41&lt;=QUARTILE(Data!K$4:K$153,1),1,IF(Data!K41&lt;=MEDIAN(Data!K$4:K$153),2,IF(Data!K41&lt;=QUARTILE(Data!K$4:K$153,3),3,4)))</f>
        <v>2</v>
      </c>
      <c r="L41" s="8">
        <f>IF(Data!L41&lt;=QUARTILE(Data!L$4:L$153,1),1,IF(Data!L41&lt;=MEDIAN(Data!L$4:L$153),2,IF(Data!L41&lt;=QUARTILE(Data!L$4:L$153,3),3,4)))</f>
        <v>1</v>
      </c>
      <c r="M41" s="8">
        <f>IF(Data!M41&lt;=QUARTILE(Data!M$4:M$153,1),1,IF(Data!M41&lt;=MEDIAN(Data!M$4:M$153),2,IF(Data!M41&lt;=QUARTILE(Data!M$4:M$153,3),3,4)))</f>
        <v>3</v>
      </c>
      <c r="N41" s="8">
        <f>IF(Data!N41&lt;=QUARTILE(Data!N$4:N$153,1),1,IF(Data!N41&lt;=MEDIAN(Data!N$4:N$153),2,IF(Data!N41&lt;=QUARTILE(Data!N$4:N$153,3),3,4)))</f>
        <v>2</v>
      </c>
      <c r="O41" s="8">
        <f>IF(Data!O41&lt;=QUARTILE(Data!O$4:O$153,1),1,IF(Data!O41&lt;=MEDIAN(Data!O$4:O$153),2,IF(Data!O41&lt;=QUARTILE(Data!O$4:O$153,3),3,4)))</f>
        <v>4</v>
      </c>
      <c r="P41" s="8">
        <f>IF(Data!P41&lt;=QUARTILE(Data!P$4:P$153,1),1,IF(Data!P41&lt;=MEDIAN(Data!P$4:P$153),2,IF(Data!P41&lt;=QUARTILE(Data!P$4:P$153,3),3,4)))</f>
        <v>2</v>
      </c>
      <c r="Q41" s="8">
        <f>IF(Data!Q41&lt;=QUARTILE(Data!Q$4:Q$153,1),1,IF(Data!Q41&lt;=MEDIAN(Data!Q$4:Q$153),2,IF(Data!Q41&lt;=QUARTILE(Data!Q$4:Q$153,3),3,4)))</f>
        <v>4</v>
      </c>
      <c r="R41" s="8">
        <f>IF(Data!R41&lt;=QUARTILE(Data!R$4:R$153,1),1,IF(Data!R41&lt;=MEDIAN(Data!R$4:R$153),2,IF(Data!R41&lt;=QUARTILE(Data!R$4:R$153,3),3,4)))</f>
        <v>1</v>
      </c>
      <c r="S41" s="8">
        <f>IF(Data!S41&lt;=QUARTILE(Data!S$4:S$153,1),1,IF(Data!S41&lt;=MEDIAN(Data!S$4:S$153),2,IF(Data!S41&lt;=QUARTILE(Data!S$4:S$153,3),3,4)))</f>
        <v>2</v>
      </c>
      <c r="T41" s="9">
        <f>IF(Data!T41&lt;=QUARTILE(Data!T$4:T$153,1),1,IF(Data!T41&lt;=MEDIAN(Data!T$4:T$153),2,IF(Data!T41&lt;=QUARTILE(Data!T$4:T$153,3),3,4)))</f>
        <v>2</v>
      </c>
      <c r="U41" s="7">
        <f>IF(Data!U41&lt;=QUARTILE(Data!U$4:U$153,1),1,IF(Data!U41&lt;=MEDIAN(Data!U$4:U$153),2,IF(Data!U41&lt;=QUARTILE(Data!U$4:U$153,3),3,4)))</f>
        <v>1</v>
      </c>
      <c r="V41" s="8">
        <f>IF(Data!V41&lt;=QUARTILE(Data!V$4:V$153,1),1,IF(Data!V41&lt;=MEDIAN(Data!V$4:V$153),2,IF(Data!V41&lt;=QUARTILE(Data!V$4:V$153,3),3,4)))</f>
        <v>1</v>
      </c>
      <c r="W41" s="8">
        <f>IF(Data!W41&lt;=QUARTILE(Data!W$4:W$153,1),1,IF(Data!W41&lt;=MEDIAN(Data!W$4:W$153),2,IF(Data!W41&lt;=QUARTILE(Data!W$4:W$153,3),3,4)))</f>
        <v>1</v>
      </c>
      <c r="X41" s="8">
        <f>IF(Data!X41&lt;=QUARTILE(Data!X$4:X$153,1),1,IF(Data!X41&lt;=MEDIAN(Data!X$4:X$153),2,IF(Data!X41&lt;=QUARTILE(Data!X$4:X$153,3),3,4)))</f>
        <v>1</v>
      </c>
      <c r="Y41" s="8">
        <f>IF(Data!Y41&lt;=QUARTILE(Data!Y$4:Y$153,1),1,IF(Data!Y41&lt;=MEDIAN(Data!Y$4:Y$153),2,IF(Data!Y41&lt;=QUARTILE(Data!Y$4:Y$153,3),3,4)))</f>
        <v>2</v>
      </c>
      <c r="Z41" s="8">
        <f>IF(Data!Z41&lt;=QUARTILE(Data!Z$4:Z$153,1),1,IF(Data!Z41&lt;=MEDIAN(Data!Z$4:Z$153),2,IF(Data!Z41&lt;=QUARTILE(Data!Z$4:Z$153,3),3,4)))</f>
        <v>2</v>
      </c>
      <c r="AA41" s="8">
        <f>IF(Data!AA41&lt;=QUARTILE(Data!AA$4:AA$153,1),1,IF(Data!AA41&lt;=MEDIAN(Data!AA$4:AA$153),2,IF(Data!AA41&lt;=QUARTILE(Data!AA$4:AA$153,3),3,4)))</f>
        <v>1</v>
      </c>
      <c r="AB41" s="8">
        <f>IF(Data!AB41&lt;=QUARTILE(Data!AB$4:AB$153,1),1,IF(Data!AB41&lt;=MEDIAN(Data!AB$4:AB$153),2,IF(Data!AB41&lt;=QUARTILE(Data!AB$4:AB$153,3),3,4)))</f>
        <v>1</v>
      </c>
      <c r="AC41" s="8">
        <f>IF(Data!AC41&lt;=QUARTILE(Data!AC$4:AC$153,1),1,IF(Data!AC41&lt;=MEDIAN(Data!AC$4:AC$153),2,IF(Data!AC41&lt;=QUARTILE(Data!AC$4:AC$153,3),3,4)))</f>
        <v>1</v>
      </c>
      <c r="AD41" s="8">
        <f>IF(Data!AD41&lt;=QUARTILE(Data!AD$4:AD$153,1),1,IF(Data!AD41&lt;=MEDIAN(Data!AD$4:AD$153),2,IF(Data!AD41&lt;=QUARTILE(Data!AD$4:AD$153,3),3,4)))</f>
        <v>1</v>
      </c>
      <c r="AE41" s="8">
        <f>IF(Data!AE41&lt;=QUARTILE(Data!AE$4:AE$153,1),1,IF(Data!AE41&lt;=MEDIAN(Data!AE$4:AE$153),2,IF(Data!AE41&lt;=QUARTILE(Data!AE$4:AE$153,3),3,4)))</f>
        <v>1</v>
      </c>
      <c r="AF41" s="8">
        <f>IF(Data!AF41&lt;=QUARTILE(Data!AF$4:AF$153,1),1,IF(Data!AF41&lt;=MEDIAN(Data!AF$4:AF$153),2,IF(Data!AF41&lt;=QUARTILE(Data!AF$4:AF$153,3),3,4)))</f>
        <v>1</v>
      </c>
      <c r="AG41" s="8">
        <f>IF(Data!AG41&lt;=QUARTILE(Data!AG$4:AG$153,1),1,IF(Data!AG41&lt;=MEDIAN(Data!AG$4:AG$153),2,IF(Data!AG41&lt;=QUARTILE(Data!AG$4:AG$153,3),3,4)))</f>
        <v>1</v>
      </c>
      <c r="AH41" s="9">
        <f>IF(Data!AH41&lt;=QUARTILE(Data!AH$4:AH$153,1),1,IF(Data!AH41&lt;=MEDIAN(Data!AH$4:AH$153),2,IF(Data!AH41&lt;=QUARTILE(Data!AH$4:AH$153,3),3,4)))</f>
        <v>1</v>
      </c>
    </row>
    <row r="42" spans="1:34" x14ac:dyDescent="0.25">
      <c r="A42" s="7" t="s">
        <v>17</v>
      </c>
      <c r="B42" s="14" t="s">
        <v>57</v>
      </c>
      <c r="C42" s="7">
        <v>48</v>
      </c>
      <c r="D42" s="8">
        <v>34</v>
      </c>
      <c r="E42" s="42" t="s">
        <v>59</v>
      </c>
      <c r="F42" s="9">
        <v>2.38</v>
      </c>
      <c r="G42" s="7">
        <f>IF(Data!G42&lt;=QUARTILE(Data!G$4:G$153,1),1,IF(Data!G42&lt;=MEDIAN(Data!G$4:G$153),2,IF(Data!G42&lt;=QUARTILE(Data!G$4:G$153,3),3,4)))</f>
        <v>4</v>
      </c>
      <c r="H42" s="8">
        <f>IF(Data!H42&lt;=QUARTILE(Data!H$4:H$153,1),1,IF(Data!H42&lt;=MEDIAN(Data!H$4:H$153),2,IF(Data!H42&lt;=QUARTILE(Data!H$4:H$153,3),3,4)))</f>
        <v>4</v>
      </c>
      <c r="I42" s="8">
        <f>IF(Data!I42&lt;=QUARTILE(Data!I$4:I$153,1),1,IF(Data!I42&lt;=MEDIAN(Data!I$4:I$153),2,IF(Data!I42&lt;=QUARTILE(Data!I$4:I$153,3),3,4)))</f>
        <v>4</v>
      </c>
      <c r="J42" s="8">
        <f>IF(Data!J42&lt;=QUARTILE(Data!J$4:J$153,1),1,IF(Data!J42&lt;=MEDIAN(Data!J$4:J$153),2,IF(Data!J42&lt;=QUARTILE(Data!J$4:J$153,3),3,4)))</f>
        <v>4</v>
      </c>
      <c r="K42" s="8">
        <f>IF(Data!K42&lt;=QUARTILE(Data!K$4:K$153,1),1,IF(Data!K42&lt;=MEDIAN(Data!K$4:K$153),2,IF(Data!K42&lt;=QUARTILE(Data!K$4:K$153,3),3,4)))</f>
        <v>2</v>
      </c>
      <c r="L42" s="8">
        <f>IF(Data!L42&lt;=QUARTILE(Data!L$4:L$153,1),1,IF(Data!L42&lt;=MEDIAN(Data!L$4:L$153),2,IF(Data!L42&lt;=QUARTILE(Data!L$4:L$153,3),3,4)))</f>
        <v>2</v>
      </c>
      <c r="M42" s="8">
        <f>IF(Data!M42&lt;=QUARTILE(Data!M$4:M$153,1),1,IF(Data!M42&lt;=MEDIAN(Data!M$4:M$153),2,IF(Data!M42&lt;=QUARTILE(Data!M$4:M$153,3),3,4)))</f>
        <v>4</v>
      </c>
      <c r="N42" s="8">
        <f>IF(Data!N42&lt;=QUARTILE(Data!N$4:N$153,1),1,IF(Data!N42&lt;=MEDIAN(Data!N$4:N$153),2,IF(Data!N42&lt;=QUARTILE(Data!N$4:N$153,3),3,4)))</f>
        <v>3</v>
      </c>
      <c r="O42" s="8">
        <f>IF(Data!O42&lt;=QUARTILE(Data!O$4:O$153,1),1,IF(Data!O42&lt;=MEDIAN(Data!O$4:O$153),2,IF(Data!O42&lt;=QUARTILE(Data!O$4:O$153,3),3,4)))</f>
        <v>4</v>
      </c>
      <c r="P42" s="8">
        <f>IF(Data!P42&lt;=QUARTILE(Data!P$4:P$153,1),1,IF(Data!P42&lt;=MEDIAN(Data!P$4:P$153),2,IF(Data!P42&lt;=QUARTILE(Data!P$4:P$153,3),3,4)))</f>
        <v>4</v>
      </c>
      <c r="Q42" s="8">
        <f>IF(Data!Q42&lt;=QUARTILE(Data!Q$4:Q$153,1),1,IF(Data!Q42&lt;=MEDIAN(Data!Q$4:Q$153),2,IF(Data!Q42&lt;=QUARTILE(Data!Q$4:Q$153,3),3,4)))</f>
        <v>2</v>
      </c>
      <c r="R42" s="8">
        <f>IF(Data!R42&lt;=QUARTILE(Data!R$4:R$153,1),1,IF(Data!R42&lt;=MEDIAN(Data!R$4:R$153),2,IF(Data!R42&lt;=QUARTILE(Data!R$4:R$153,3),3,4)))</f>
        <v>1</v>
      </c>
      <c r="S42" s="8">
        <f>IF(Data!S42&lt;=QUARTILE(Data!S$4:S$153,1),1,IF(Data!S42&lt;=MEDIAN(Data!S$4:S$153),2,IF(Data!S42&lt;=QUARTILE(Data!S$4:S$153,3),3,4)))</f>
        <v>3</v>
      </c>
      <c r="T42" s="9">
        <f>IF(Data!T42&lt;=QUARTILE(Data!T$4:T$153,1),1,IF(Data!T42&lt;=MEDIAN(Data!T$4:T$153),2,IF(Data!T42&lt;=QUARTILE(Data!T$4:T$153,3),3,4)))</f>
        <v>4</v>
      </c>
      <c r="U42" s="7">
        <f>IF(Data!U42&lt;=QUARTILE(Data!U$4:U$153,1),1,IF(Data!U42&lt;=MEDIAN(Data!U$4:U$153),2,IF(Data!U42&lt;=QUARTILE(Data!U$4:U$153,3),3,4)))</f>
        <v>4</v>
      </c>
      <c r="V42" s="8">
        <f>IF(Data!V42&lt;=QUARTILE(Data!V$4:V$153,1),1,IF(Data!V42&lt;=MEDIAN(Data!V$4:V$153),2,IF(Data!V42&lt;=QUARTILE(Data!V$4:V$153,3),3,4)))</f>
        <v>4</v>
      </c>
      <c r="W42" s="8">
        <f>IF(Data!W42&lt;=QUARTILE(Data!W$4:W$153,1),1,IF(Data!W42&lt;=MEDIAN(Data!W$4:W$153),2,IF(Data!W42&lt;=QUARTILE(Data!W$4:W$153,3),3,4)))</f>
        <v>4</v>
      </c>
      <c r="X42" s="8">
        <f>IF(Data!X42&lt;=QUARTILE(Data!X$4:X$153,1),1,IF(Data!X42&lt;=MEDIAN(Data!X$4:X$153),2,IF(Data!X42&lt;=QUARTILE(Data!X$4:X$153,3),3,4)))</f>
        <v>4</v>
      </c>
      <c r="Y42" s="8">
        <f>IF(Data!Y42&lt;=QUARTILE(Data!Y$4:Y$153,1),1,IF(Data!Y42&lt;=MEDIAN(Data!Y$4:Y$153),2,IF(Data!Y42&lt;=QUARTILE(Data!Y$4:Y$153,3),3,4)))</f>
        <v>4</v>
      </c>
      <c r="Z42" s="8">
        <f>IF(Data!Z42&lt;=QUARTILE(Data!Z$4:Z$153,1),1,IF(Data!Z42&lt;=MEDIAN(Data!Z$4:Z$153),2,IF(Data!Z42&lt;=QUARTILE(Data!Z$4:Z$153,3),3,4)))</f>
        <v>4</v>
      </c>
      <c r="AA42" s="8">
        <f>IF(Data!AA42&lt;=QUARTILE(Data!AA$4:AA$153,1),1,IF(Data!AA42&lt;=MEDIAN(Data!AA$4:AA$153),2,IF(Data!AA42&lt;=QUARTILE(Data!AA$4:AA$153,3),3,4)))</f>
        <v>4</v>
      </c>
      <c r="AB42" s="8">
        <f>IF(Data!AB42&lt;=QUARTILE(Data!AB$4:AB$153,1),1,IF(Data!AB42&lt;=MEDIAN(Data!AB$4:AB$153),2,IF(Data!AB42&lt;=QUARTILE(Data!AB$4:AB$153,3),3,4)))</f>
        <v>4</v>
      </c>
      <c r="AC42" s="8">
        <f>IF(Data!AC42&lt;=QUARTILE(Data!AC$4:AC$153,1),1,IF(Data!AC42&lt;=MEDIAN(Data!AC$4:AC$153),2,IF(Data!AC42&lt;=QUARTILE(Data!AC$4:AC$153,3),3,4)))</f>
        <v>4</v>
      </c>
      <c r="AD42" s="8">
        <f>IF(Data!AD42&lt;=QUARTILE(Data!AD$4:AD$153,1),1,IF(Data!AD42&lt;=MEDIAN(Data!AD$4:AD$153),2,IF(Data!AD42&lt;=QUARTILE(Data!AD$4:AD$153,3),3,4)))</f>
        <v>2</v>
      </c>
      <c r="AE42" s="8">
        <f>IF(Data!AE42&lt;=QUARTILE(Data!AE$4:AE$153,1),1,IF(Data!AE42&lt;=MEDIAN(Data!AE$4:AE$153),2,IF(Data!AE42&lt;=QUARTILE(Data!AE$4:AE$153,3),3,4)))</f>
        <v>3</v>
      </c>
      <c r="AF42" s="8">
        <f>IF(Data!AF42&lt;=QUARTILE(Data!AF$4:AF$153,1),1,IF(Data!AF42&lt;=MEDIAN(Data!AF$4:AF$153),2,IF(Data!AF42&lt;=QUARTILE(Data!AF$4:AF$153,3),3,4)))</f>
        <v>4</v>
      </c>
      <c r="AG42" s="8">
        <f>IF(Data!AG42&lt;=QUARTILE(Data!AG$4:AG$153,1),1,IF(Data!AG42&lt;=MEDIAN(Data!AG$4:AG$153),2,IF(Data!AG42&lt;=QUARTILE(Data!AG$4:AG$153,3),3,4)))</f>
        <v>2</v>
      </c>
      <c r="AH42" s="9">
        <f>IF(Data!AH42&lt;=QUARTILE(Data!AH$4:AH$153,1),1,IF(Data!AH42&lt;=MEDIAN(Data!AH$4:AH$153),2,IF(Data!AH42&lt;=QUARTILE(Data!AH$4:AH$153,3),3,4)))</f>
        <v>4</v>
      </c>
    </row>
    <row r="43" spans="1:34" x14ac:dyDescent="0.25">
      <c r="A43" s="7" t="s">
        <v>65</v>
      </c>
      <c r="B43" s="14" t="s">
        <v>57</v>
      </c>
      <c r="C43" s="7">
        <v>55</v>
      </c>
      <c r="D43" s="8">
        <v>27</v>
      </c>
      <c r="E43" s="42" t="s">
        <v>58</v>
      </c>
      <c r="F43" s="9">
        <v>4.84</v>
      </c>
      <c r="G43" s="7">
        <f>IF(Data!G43&lt;=QUARTILE(Data!G$4:G$153,1),1,IF(Data!G43&lt;=MEDIAN(Data!G$4:G$153),2,IF(Data!G43&lt;=QUARTILE(Data!G$4:G$153,3),3,4)))</f>
        <v>3</v>
      </c>
      <c r="H43" s="8">
        <f>IF(Data!H43&lt;=QUARTILE(Data!H$4:H$153,1),1,IF(Data!H43&lt;=MEDIAN(Data!H$4:H$153),2,IF(Data!H43&lt;=QUARTILE(Data!H$4:H$153,3),3,4)))</f>
        <v>3</v>
      </c>
      <c r="I43" s="8">
        <f>IF(Data!I43&lt;=QUARTILE(Data!I$4:I$153,1),1,IF(Data!I43&lt;=MEDIAN(Data!I$4:I$153),2,IF(Data!I43&lt;=QUARTILE(Data!I$4:I$153,3),3,4)))</f>
        <v>4</v>
      </c>
      <c r="J43" s="8">
        <f>IF(Data!J43&lt;=QUARTILE(Data!J$4:J$153,1),1,IF(Data!J43&lt;=MEDIAN(Data!J$4:J$153),2,IF(Data!J43&lt;=QUARTILE(Data!J$4:J$153,3),3,4)))</f>
        <v>4</v>
      </c>
      <c r="K43" s="8">
        <f>IF(Data!K43&lt;=QUARTILE(Data!K$4:K$153,1),1,IF(Data!K43&lt;=MEDIAN(Data!K$4:K$153),2,IF(Data!K43&lt;=QUARTILE(Data!K$4:K$153,3),3,4)))</f>
        <v>1</v>
      </c>
      <c r="L43" s="8">
        <f>IF(Data!L43&lt;=QUARTILE(Data!L$4:L$153,1),1,IF(Data!L43&lt;=MEDIAN(Data!L$4:L$153),2,IF(Data!L43&lt;=QUARTILE(Data!L$4:L$153,3),3,4)))</f>
        <v>1</v>
      </c>
      <c r="M43" s="8">
        <f>IF(Data!M43&lt;=QUARTILE(Data!M$4:M$153,1),1,IF(Data!M43&lt;=MEDIAN(Data!M$4:M$153),2,IF(Data!M43&lt;=QUARTILE(Data!M$4:M$153,3),3,4)))</f>
        <v>4</v>
      </c>
      <c r="N43" s="8">
        <f>IF(Data!N43&lt;=QUARTILE(Data!N$4:N$153,1),1,IF(Data!N43&lt;=MEDIAN(Data!N$4:N$153),2,IF(Data!N43&lt;=QUARTILE(Data!N$4:N$153,3),3,4)))</f>
        <v>4</v>
      </c>
      <c r="O43" s="8">
        <f>IF(Data!O43&lt;=QUARTILE(Data!O$4:O$153,1),1,IF(Data!O43&lt;=MEDIAN(Data!O$4:O$153),2,IF(Data!O43&lt;=QUARTILE(Data!O$4:O$153,3),3,4)))</f>
        <v>3</v>
      </c>
      <c r="P43" s="8">
        <f>IF(Data!P43&lt;=QUARTILE(Data!P$4:P$153,1),1,IF(Data!P43&lt;=MEDIAN(Data!P$4:P$153),2,IF(Data!P43&lt;=QUARTILE(Data!P$4:P$153,3),3,4)))</f>
        <v>3</v>
      </c>
      <c r="Q43" s="8">
        <f>IF(Data!Q43&lt;=QUARTILE(Data!Q$4:Q$153,1),1,IF(Data!Q43&lt;=MEDIAN(Data!Q$4:Q$153),2,IF(Data!Q43&lt;=QUARTILE(Data!Q$4:Q$153,3),3,4)))</f>
        <v>3</v>
      </c>
      <c r="R43" s="8">
        <f>IF(Data!R43&lt;=QUARTILE(Data!R$4:R$153,1),1,IF(Data!R43&lt;=MEDIAN(Data!R$4:R$153),2,IF(Data!R43&lt;=QUARTILE(Data!R$4:R$153,3),3,4)))</f>
        <v>1</v>
      </c>
      <c r="S43" s="8">
        <f>IF(Data!S43&lt;=QUARTILE(Data!S$4:S$153,1),1,IF(Data!S43&lt;=MEDIAN(Data!S$4:S$153),2,IF(Data!S43&lt;=QUARTILE(Data!S$4:S$153,3),3,4)))</f>
        <v>1</v>
      </c>
      <c r="T43" s="9">
        <f>IF(Data!T43&lt;=QUARTILE(Data!T$4:T$153,1),1,IF(Data!T43&lt;=MEDIAN(Data!T$4:T$153),2,IF(Data!T43&lt;=QUARTILE(Data!T$4:T$153,3),3,4)))</f>
        <v>2</v>
      </c>
      <c r="U43" s="7">
        <f>IF(Data!U43&lt;=QUARTILE(Data!U$4:U$153,1),1,IF(Data!U43&lt;=MEDIAN(Data!U$4:U$153),2,IF(Data!U43&lt;=QUARTILE(Data!U$4:U$153,3),3,4)))</f>
        <v>1</v>
      </c>
      <c r="V43" s="8">
        <f>IF(Data!V43&lt;=QUARTILE(Data!V$4:V$153,1),1,IF(Data!V43&lt;=MEDIAN(Data!V$4:V$153),2,IF(Data!V43&lt;=QUARTILE(Data!V$4:V$153,3),3,4)))</f>
        <v>3</v>
      </c>
      <c r="W43" s="8">
        <f>IF(Data!W43&lt;=QUARTILE(Data!W$4:W$153,1),1,IF(Data!W43&lt;=MEDIAN(Data!W$4:W$153),2,IF(Data!W43&lt;=QUARTILE(Data!W$4:W$153,3),3,4)))</f>
        <v>1</v>
      </c>
      <c r="X43" s="8">
        <f>IF(Data!X43&lt;=QUARTILE(Data!X$4:X$153,1),1,IF(Data!X43&lt;=MEDIAN(Data!X$4:X$153),2,IF(Data!X43&lt;=QUARTILE(Data!X$4:X$153,3),3,4)))</f>
        <v>1</v>
      </c>
      <c r="Y43" s="8">
        <f>IF(Data!Y43&lt;=QUARTILE(Data!Y$4:Y$153,1),1,IF(Data!Y43&lt;=MEDIAN(Data!Y$4:Y$153),2,IF(Data!Y43&lt;=QUARTILE(Data!Y$4:Y$153,3),3,4)))</f>
        <v>1</v>
      </c>
      <c r="Z43" s="8">
        <f>IF(Data!Z43&lt;=QUARTILE(Data!Z$4:Z$153,1),1,IF(Data!Z43&lt;=MEDIAN(Data!Z$4:Z$153),2,IF(Data!Z43&lt;=QUARTILE(Data!Z$4:Z$153,3),3,4)))</f>
        <v>1</v>
      </c>
      <c r="AA43" s="8">
        <f>IF(Data!AA43&lt;=QUARTILE(Data!AA$4:AA$153,1),1,IF(Data!AA43&lt;=MEDIAN(Data!AA$4:AA$153),2,IF(Data!AA43&lt;=QUARTILE(Data!AA$4:AA$153,3),3,4)))</f>
        <v>2</v>
      </c>
      <c r="AB43" s="8">
        <f>IF(Data!AB43&lt;=QUARTILE(Data!AB$4:AB$153,1),1,IF(Data!AB43&lt;=MEDIAN(Data!AB$4:AB$153),2,IF(Data!AB43&lt;=QUARTILE(Data!AB$4:AB$153,3),3,4)))</f>
        <v>2</v>
      </c>
      <c r="AC43" s="8">
        <f>IF(Data!AC43&lt;=QUARTILE(Data!AC$4:AC$153,1),1,IF(Data!AC43&lt;=MEDIAN(Data!AC$4:AC$153),2,IF(Data!AC43&lt;=QUARTILE(Data!AC$4:AC$153,3),3,4)))</f>
        <v>1</v>
      </c>
      <c r="AD43" s="8">
        <f>IF(Data!AD43&lt;=QUARTILE(Data!AD$4:AD$153,1),1,IF(Data!AD43&lt;=MEDIAN(Data!AD$4:AD$153),2,IF(Data!AD43&lt;=QUARTILE(Data!AD$4:AD$153,3),3,4)))</f>
        <v>3</v>
      </c>
      <c r="AE43" s="8">
        <f>IF(Data!AE43&lt;=QUARTILE(Data!AE$4:AE$153,1),1,IF(Data!AE43&lt;=MEDIAN(Data!AE$4:AE$153),2,IF(Data!AE43&lt;=QUARTILE(Data!AE$4:AE$153,3),3,4)))</f>
        <v>2</v>
      </c>
      <c r="AF43" s="8">
        <f>IF(Data!AF43&lt;=QUARTILE(Data!AF$4:AF$153,1),1,IF(Data!AF43&lt;=MEDIAN(Data!AF$4:AF$153),2,IF(Data!AF43&lt;=QUARTILE(Data!AF$4:AF$153,3),3,4)))</f>
        <v>1</v>
      </c>
      <c r="AG43" s="8">
        <f>IF(Data!AG43&lt;=QUARTILE(Data!AG$4:AG$153,1),1,IF(Data!AG43&lt;=MEDIAN(Data!AG$4:AG$153),2,IF(Data!AG43&lt;=QUARTILE(Data!AG$4:AG$153,3),3,4)))</f>
        <v>1</v>
      </c>
      <c r="AH43" s="9">
        <f>IF(Data!AH43&lt;=QUARTILE(Data!AH$4:AH$153,1),1,IF(Data!AH43&lt;=MEDIAN(Data!AH$4:AH$153),2,IF(Data!AH43&lt;=QUARTILE(Data!AH$4:AH$153,3),3,4)))</f>
        <v>1</v>
      </c>
    </row>
    <row r="44" spans="1:34" x14ac:dyDescent="0.25">
      <c r="A44" s="7" t="s">
        <v>19</v>
      </c>
      <c r="B44" s="14" t="s">
        <v>57</v>
      </c>
      <c r="C44" s="7">
        <v>36</v>
      </c>
      <c r="D44" s="8">
        <v>46</v>
      </c>
      <c r="E44" s="42" t="s">
        <v>59</v>
      </c>
      <c r="F44" s="9">
        <v>-1.86</v>
      </c>
      <c r="G44" s="7">
        <f>IF(Data!G44&lt;=QUARTILE(Data!G$4:G$153,1),1,IF(Data!G44&lt;=MEDIAN(Data!G$4:G$153),2,IF(Data!G44&lt;=QUARTILE(Data!G$4:G$153,3),3,4)))</f>
        <v>4</v>
      </c>
      <c r="H44" s="8">
        <f>IF(Data!H44&lt;=QUARTILE(Data!H$4:H$153,1),1,IF(Data!H44&lt;=MEDIAN(Data!H$4:H$153),2,IF(Data!H44&lt;=QUARTILE(Data!H$4:H$153,3),3,4)))</f>
        <v>4</v>
      </c>
      <c r="I44" s="8">
        <f>IF(Data!I44&lt;=QUARTILE(Data!I$4:I$153,1),1,IF(Data!I44&lt;=MEDIAN(Data!I$4:I$153),2,IF(Data!I44&lt;=QUARTILE(Data!I$4:I$153,3),3,4)))</f>
        <v>4</v>
      </c>
      <c r="J44" s="8">
        <f>IF(Data!J44&lt;=QUARTILE(Data!J$4:J$153,1),1,IF(Data!J44&lt;=MEDIAN(Data!J$4:J$153),2,IF(Data!J44&lt;=QUARTILE(Data!J$4:J$153,3),3,4)))</f>
        <v>4</v>
      </c>
      <c r="K44" s="8">
        <f>IF(Data!K44&lt;=QUARTILE(Data!K$4:K$153,1),1,IF(Data!K44&lt;=MEDIAN(Data!K$4:K$153),2,IF(Data!K44&lt;=QUARTILE(Data!K$4:K$153,3),3,4)))</f>
        <v>2</v>
      </c>
      <c r="L44" s="8">
        <f>IF(Data!L44&lt;=QUARTILE(Data!L$4:L$153,1),1,IF(Data!L44&lt;=MEDIAN(Data!L$4:L$153),2,IF(Data!L44&lt;=QUARTILE(Data!L$4:L$153,3),3,4)))</f>
        <v>2</v>
      </c>
      <c r="M44" s="8">
        <f>IF(Data!M44&lt;=QUARTILE(Data!M$4:M$153,1),1,IF(Data!M44&lt;=MEDIAN(Data!M$4:M$153),2,IF(Data!M44&lt;=QUARTILE(Data!M$4:M$153,3),3,4)))</f>
        <v>2</v>
      </c>
      <c r="N44" s="8">
        <f>IF(Data!N44&lt;=QUARTILE(Data!N$4:N$153,1),1,IF(Data!N44&lt;=MEDIAN(Data!N$4:N$153),2,IF(Data!N44&lt;=QUARTILE(Data!N$4:N$153,3),3,4)))</f>
        <v>4</v>
      </c>
      <c r="O44" s="8">
        <f>IF(Data!O44&lt;=QUARTILE(Data!O$4:O$153,1),1,IF(Data!O44&lt;=MEDIAN(Data!O$4:O$153),2,IF(Data!O44&lt;=QUARTILE(Data!O$4:O$153,3),3,4)))</f>
        <v>4</v>
      </c>
      <c r="P44" s="8">
        <f>IF(Data!P44&lt;=QUARTILE(Data!P$4:P$153,1),1,IF(Data!P44&lt;=MEDIAN(Data!P$4:P$153),2,IF(Data!P44&lt;=QUARTILE(Data!P$4:P$153,3),3,4)))</f>
        <v>3</v>
      </c>
      <c r="Q44" s="8">
        <f>IF(Data!Q44&lt;=QUARTILE(Data!Q$4:Q$153,1),1,IF(Data!Q44&lt;=MEDIAN(Data!Q$4:Q$153),2,IF(Data!Q44&lt;=QUARTILE(Data!Q$4:Q$153,3),3,4)))</f>
        <v>3</v>
      </c>
      <c r="R44" s="8">
        <f>IF(Data!R44&lt;=QUARTILE(Data!R$4:R$153,1),1,IF(Data!R44&lt;=MEDIAN(Data!R$4:R$153),2,IF(Data!R44&lt;=QUARTILE(Data!R$4:R$153,3),3,4)))</f>
        <v>3</v>
      </c>
      <c r="S44" s="8">
        <f>IF(Data!S44&lt;=QUARTILE(Data!S$4:S$153,1),1,IF(Data!S44&lt;=MEDIAN(Data!S$4:S$153),2,IF(Data!S44&lt;=QUARTILE(Data!S$4:S$153,3),3,4)))</f>
        <v>4</v>
      </c>
      <c r="T44" s="9">
        <f>IF(Data!T44&lt;=QUARTILE(Data!T$4:T$153,1),1,IF(Data!T44&lt;=MEDIAN(Data!T$4:T$153),2,IF(Data!T44&lt;=QUARTILE(Data!T$4:T$153,3),3,4)))</f>
        <v>4</v>
      </c>
      <c r="U44" s="7">
        <f>IF(Data!U44&lt;=QUARTILE(Data!U$4:U$153,1),1,IF(Data!U44&lt;=MEDIAN(Data!U$4:U$153),2,IF(Data!U44&lt;=QUARTILE(Data!U$4:U$153,3),3,4)))</f>
        <v>3</v>
      </c>
      <c r="V44" s="8">
        <f>IF(Data!V44&lt;=QUARTILE(Data!V$4:V$153,1),1,IF(Data!V44&lt;=MEDIAN(Data!V$4:V$153),2,IF(Data!V44&lt;=QUARTILE(Data!V$4:V$153,3),3,4)))</f>
        <v>4</v>
      </c>
      <c r="W44" s="8">
        <f>IF(Data!W44&lt;=QUARTILE(Data!W$4:W$153,1),1,IF(Data!W44&lt;=MEDIAN(Data!W$4:W$153),2,IF(Data!W44&lt;=QUARTILE(Data!W$4:W$153,3),3,4)))</f>
        <v>4</v>
      </c>
      <c r="X44" s="8">
        <f>IF(Data!X44&lt;=QUARTILE(Data!X$4:X$153,1),1,IF(Data!X44&lt;=MEDIAN(Data!X$4:X$153),2,IF(Data!X44&lt;=QUARTILE(Data!X$4:X$153,3),3,4)))</f>
        <v>4</v>
      </c>
      <c r="Y44" s="8">
        <f>IF(Data!Y44&lt;=QUARTILE(Data!Y$4:Y$153,1),1,IF(Data!Y44&lt;=MEDIAN(Data!Y$4:Y$153),2,IF(Data!Y44&lt;=QUARTILE(Data!Y$4:Y$153,3),3,4)))</f>
        <v>4</v>
      </c>
      <c r="Z44" s="8">
        <f>IF(Data!Z44&lt;=QUARTILE(Data!Z$4:Z$153,1),1,IF(Data!Z44&lt;=MEDIAN(Data!Z$4:Z$153),2,IF(Data!Z44&lt;=QUARTILE(Data!Z$4:Z$153,3),3,4)))</f>
        <v>4</v>
      </c>
      <c r="AA44" s="8">
        <f>IF(Data!AA44&lt;=QUARTILE(Data!AA$4:AA$153,1),1,IF(Data!AA44&lt;=MEDIAN(Data!AA$4:AA$153),2,IF(Data!AA44&lt;=QUARTILE(Data!AA$4:AA$153,3),3,4)))</f>
        <v>3</v>
      </c>
      <c r="AB44" s="8">
        <f>IF(Data!AB44&lt;=QUARTILE(Data!AB$4:AB$153,1),1,IF(Data!AB44&lt;=MEDIAN(Data!AB$4:AB$153),2,IF(Data!AB44&lt;=QUARTILE(Data!AB$4:AB$153,3),3,4)))</f>
        <v>4</v>
      </c>
      <c r="AC44" s="8">
        <f>IF(Data!AC44&lt;=QUARTILE(Data!AC$4:AC$153,1),1,IF(Data!AC44&lt;=MEDIAN(Data!AC$4:AC$153),2,IF(Data!AC44&lt;=QUARTILE(Data!AC$4:AC$153,3),3,4)))</f>
        <v>3</v>
      </c>
      <c r="AD44" s="8">
        <f>IF(Data!AD44&lt;=QUARTILE(Data!AD$4:AD$153,1),1,IF(Data!AD44&lt;=MEDIAN(Data!AD$4:AD$153),2,IF(Data!AD44&lt;=QUARTILE(Data!AD$4:AD$153,3),3,4)))</f>
        <v>4</v>
      </c>
      <c r="AE44" s="8">
        <f>IF(Data!AE44&lt;=QUARTILE(Data!AE$4:AE$153,1),1,IF(Data!AE44&lt;=MEDIAN(Data!AE$4:AE$153),2,IF(Data!AE44&lt;=QUARTILE(Data!AE$4:AE$153,3),3,4)))</f>
        <v>3</v>
      </c>
      <c r="AF44" s="8">
        <f>IF(Data!AF44&lt;=QUARTILE(Data!AF$4:AF$153,1),1,IF(Data!AF44&lt;=MEDIAN(Data!AF$4:AF$153),2,IF(Data!AF44&lt;=QUARTILE(Data!AF$4:AF$153,3),3,4)))</f>
        <v>4</v>
      </c>
      <c r="AG44" s="8">
        <f>IF(Data!AG44&lt;=QUARTILE(Data!AG$4:AG$153,1),1,IF(Data!AG44&lt;=MEDIAN(Data!AG$4:AG$153),2,IF(Data!AG44&lt;=QUARTILE(Data!AG$4:AG$153,3),3,4)))</f>
        <v>2</v>
      </c>
      <c r="AH44" s="9">
        <f>IF(Data!AH44&lt;=QUARTILE(Data!AH$4:AH$153,1),1,IF(Data!AH44&lt;=MEDIAN(Data!AH$4:AH$153),2,IF(Data!AH44&lt;=QUARTILE(Data!AH$4:AH$153,3),3,4)))</f>
        <v>4</v>
      </c>
    </row>
    <row r="45" spans="1:34" x14ac:dyDescent="0.25">
      <c r="A45" s="7" t="s">
        <v>27</v>
      </c>
      <c r="B45" s="14" t="s">
        <v>57</v>
      </c>
      <c r="C45" s="7">
        <v>23</v>
      </c>
      <c r="D45" s="8">
        <v>59</v>
      </c>
      <c r="E45" s="42" t="s">
        <v>59</v>
      </c>
      <c r="F45" s="9">
        <v>-6.56</v>
      </c>
      <c r="G45" s="7">
        <f>IF(Data!G45&lt;=QUARTILE(Data!G$4:G$153,1),1,IF(Data!G45&lt;=MEDIAN(Data!G$4:G$153),2,IF(Data!G45&lt;=QUARTILE(Data!G$4:G$153,3),3,4)))</f>
        <v>1</v>
      </c>
      <c r="H45" s="8">
        <f>IF(Data!H45&lt;=QUARTILE(Data!H$4:H$153,1),1,IF(Data!H45&lt;=MEDIAN(Data!H$4:H$153),2,IF(Data!H45&lt;=QUARTILE(Data!H$4:H$153,3),3,4)))</f>
        <v>2</v>
      </c>
      <c r="I45" s="8">
        <f>IF(Data!I45&lt;=QUARTILE(Data!I$4:I$153,1),1,IF(Data!I45&lt;=MEDIAN(Data!I$4:I$153),2,IF(Data!I45&lt;=QUARTILE(Data!I$4:I$153,3),3,4)))</f>
        <v>1</v>
      </c>
      <c r="J45" s="8">
        <f>IF(Data!J45&lt;=QUARTILE(Data!J$4:J$153,1),1,IF(Data!J45&lt;=MEDIAN(Data!J$4:J$153),2,IF(Data!J45&lt;=QUARTILE(Data!J$4:J$153,3),3,4)))</f>
        <v>1</v>
      </c>
      <c r="K45" s="8">
        <f>IF(Data!K45&lt;=QUARTILE(Data!K$4:K$153,1),1,IF(Data!K45&lt;=MEDIAN(Data!K$4:K$153),2,IF(Data!K45&lt;=QUARTILE(Data!K$4:K$153,3),3,4)))</f>
        <v>4</v>
      </c>
      <c r="L45" s="8">
        <f>IF(Data!L45&lt;=QUARTILE(Data!L$4:L$153,1),1,IF(Data!L45&lt;=MEDIAN(Data!L$4:L$153),2,IF(Data!L45&lt;=QUARTILE(Data!L$4:L$153,3),3,4)))</f>
        <v>3</v>
      </c>
      <c r="M45" s="8">
        <f>IF(Data!M45&lt;=QUARTILE(Data!M$4:M$153,1),1,IF(Data!M45&lt;=MEDIAN(Data!M$4:M$153),2,IF(Data!M45&lt;=QUARTILE(Data!M$4:M$153,3),3,4)))</f>
        <v>1</v>
      </c>
      <c r="N45" s="8">
        <f>IF(Data!N45&lt;=QUARTILE(Data!N$4:N$153,1),1,IF(Data!N45&lt;=MEDIAN(Data!N$4:N$153),2,IF(Data!N45&lt;=QUARTILE(Data!N$4:N$153,3),3,4)))</f>
        <v>3</v>
      </c>
      <c r="O45" s="8">
        <f>IF(Data!O45&lt;=QUARTILE(Data!O$4:O$153,1),1,IF(Data!O45&lt;=MEDIAN(Data!O$4:O$153),2,IF(Data!O45&lt;=QUARTILE(Data!O$4:O$153,3),3,4)))</f>
        <v>3</v>
      </c>
      <c r="P45" s="8">
        <f>IF(Data!P45&lt;=QUARTILE(Data!P$4:P$153,1),1,IF(Data!P45&lt;=MEDIAN(Data!P$4:P$153),2,IF(Data!P45&lt;=QUARTILE(Data!P$4:P$153,3),3,4)))</f>
        <v>2</v>
      </c>
      <c r="Q45" s="8">
        <f>IF(Data!Q45&lt;=QUARTILE(Data!Q$4:Q$153,1),1,IF(Data!Q45&lt;=MEDIAN(Data!Q$4:Q$153),2,IF(Data!Q45&lt;=QUARTILE(Data!Q$4:Q$153,3),3,4)))</f>
        <v>3</v>
      </c>
      <c r="R45" s="8">
        <f>IF(Data!R45&lt;=QUARTILE(Data!R$4:R$153,1),1,IF(Data!R45&lt;=MEDIAN(Data!R$4:R$153),2,IF(Data!R45&lt;=QUARTILE(Data!R$4:R$153,3),3,4)))</f>
        <v>2</v>
      </c>
      <c r="S45" s="8">
        <f>IF(Data!S45&lt;=QUARTILE(Data!S$4:S$153,1),1,IF(Data!S45&lt;=MEDIAN(Data!S$4:S$153),2,IF(Data!S45&lt;=QUARTILE(Data!S$4:S$153,3),3,4)))</f>
        <v>2</v>
      </c>
      <c r="T45" s="9">
        <f>IF(Data!T45&lt;=QUARTILE(Data!T$4:T$153,1),1,IF(Data!T45&lt;=MEDIAN(Data!T$4:T$153),2,IF(Data!T45&lt;=QUARTILE(Data!T$4:T$153,3),3,4)))</f>
        <v>1</v>
      </c>
      <c r="U45" s="7">
        <f>IF(Data!U45&lt;=QUARTILE(Data!U$4:U$153,1),1,IF(Data!U45&lt;=MEDIAN(Data!U$4:U$153),2,IF(Data!U45&lt;=QUARTILE(Data!U$4:U$153,3),3,4)))</f>
        <v>4</v>
      </c>
      <c r="V45" s="8">
        <f>IF(Data!V45&lt;=QUARTILE(Data!V$4:V$153,1),1,IF(Data!V45&lt;=MEDIAN(Data!V$4:V$153),2,IF(Data!V45&lt;=QUARTILE(Data!V$4:V$153,3),3,4)))</f>
        <v>3</v>
      </c>
      <c r="W45" s="8">
        <f>IF(Data!W45&lt;=QUARTILE(Data!W$4:W$153,1),1,IF(Data!W45&lt;=MEDIAN(Data!W$4:W$153),2,IF(Data!W45&lt;=QUARTILE(Data!W$4:W$153,3),3,4)))</f>
        <v>2</v>
      </c>
      <c r="X45" s="8">
        <f>IF(Data!X45&lt;=QUARTILE(Data!X$4:X$153,1),1,IF(Data!X45&lt;=MEDIAN(Data!X$4:X$153),2,IF(Data!X45&lt;=QUARTILE(Data!X$4:X$153,3),3,4)))</f>
        <v>2</v>
      </c>
      <c r="Y45" s="8">
        <f>IF(Data!Y45&lt;=QUARTILE(Data!Y$4:Y$153,1),1,IF(Data!Y45&lt;=MEDIAN(Data!Y$4:Y$153),2,IF(Data!Y45&lt;=QUARTILE(Data!Y$4:Y$153,3),3,4)))</f>
        <v>2</v>
      </c>
      <c r="Z45" s="8">
        <f>IF(Data!Z45&lt;=QUARTILE(Data!Z$4:Z$153,1),1,IF(Data!Z45&lt;=MEDIAN(Data!Z$4:Z$153),2,IF(Data!Z45&lt;=QUARTILE(Data!Z$4:Z$153,3),3,4)))</f>
        <v>2</v>
      </c>
      <c r="AA45" s="8">
        <f>IF(Data!AA45&lt;=QUARTILE(Data!AA$4:AA$153,1),1,IF(Data!AA45&lt;=MEDIAN(Data!AA$4:AA$153),2,IF(Data!AA45&lt;=QUARTILE(Data!AA$4:AA$153,3),3,4)))</f>
        <v>2</v>
      </c>
      <c r="AB45" s="8">
        <f>IF(Data!AB45&lt;=QUARTILE(Data!AB$4:AB$153,1),1,IF(Data!AB45&lt;=MEDIAN(Data!AB$4:AB$153),2,IF(Data!AB45&lt;=QUARTILE(Data!AB$4:AB$153,3),3,4)))</f>
        <v>4</v>
      </c>
      <c r="AC45" s="8">
        <f>IF(Data!AC45&lt;=QUARTILE(Data!AC$4:AC$153,1),1,IF(Data!AC45&lt;=MEDIAN(Data!AC$4:AC$153),2,IF(Data!AC45&lt;=QUARTILE(Data!AC$4:AC$153,3),3,4)))</f>
        <v>4</v>
      </c>
      <c r="AD45" s="8">
        <f>IF(Data!AD45&lt;=QUARTILE(Data!AD$4:AD$153,1),1,IF(Data!AD45&lt;=MEDIAN(Data!AD$4:AD$153),2,IF(Data!AD45&lt;=QUARTILE(Data!AD$4:AD$153,3),3,4)))</f>
        <v>2</v>
      </c>
      <c r="AE45" s="8">
        <f>IF(Data!AE45&lt;=QUARTILE(Data!AE$4:AE$153,1),1,IF(Data!AE45&lt;=MEDIAN(Data!AE$4:AE$153),2,IF(Data!AE45&lt;=QUARTILE(Data!AE$4:AE$153,3),3,4)))</f>
        <v>2</v>
      </c>
      <c r="AF45" s="8">
        <f>IF(Data!AF45&lt;=QUARTILE(Data!AF$4:AF$153,1),1,IF(Data!AF45&lt;=MEDIAN(Data!AF$4:AF$153),2,IF(Data!AF45&lt;=QUARTILE(Data!AF$4:AF$153,3),3,4)))</f>
        <v>1</v>
      </c>
      <c r="AG45" s="8">
        <f>IF(Data!AG45&lt;=QUARTILE(Data!AG$4:AG$153,1),1,IF(Data!AG45&lt;=MEDIAN(Data!AG$4:AG$153),2,IF(Data!AG45&lt;=QUARTILE(Data!AG$4:AG$153,3),3,4)))</f>
        <v>2</v>
      </c>
      <c r="AH45" s="9">
        <f>IF(Data!AH45&lt;=QUARTILE(Data!AH$4:AH$153,1),1,IF(Data!AH45&lt;=MEDIAN(Data!AH$4:AH$153),2,IF(Data!AH45&lt;=QUARTILE(Data!AH$4:AH$153,3),3,4)))</f>
        <v>3</v>
      </c>
    </row>
    <row r="46" spans="1:34" x14ac:dyDescent="0.25">
      <c r="A46" s="7" t="s">
        <v>70</v>
      </c>
      <c r="B46" s="14" t="s">
        <v>57</v>
      </c>
      <c r="C46" s="7">
        <v>57</v>
      </c>
      <c r="D46" s="8">
        <v>25</v>
      </c>
      <c r="E46" s="42" t="s">
        <v>58</v>
      </c>
      <c r="F46" s="9">
        <v>7.34</v>
      </c>
      <c r="G46" s="7">
        <f>IF(Data!G46&lt;=QUARTILE(Data!G$4:G$153,1),1,IF(Data!G46&lt;=MEDIAN(Data!G$4:G$153),2,IF(Data!G46&lt;=QUARTILE(Data!G$4:G$153,3),3,4)))</f>
        <v>4</v>
      </c>
      <c r="H46" s="8">
        <f>IF(Data!H46&lt;=QUARTILE(Data!H$4:H$153,1),1,IF(Data!H46&lt;=MEDIAN(Data!H$4:H$153),2,IF(Data!H46&lt;=QUARTILE(Data!H$4:H$153,3),3,4)))</f>
        <v>4</v>
      </c>
      <c r="I46" s="8">
        <f>IF(Data!I46&lt;=QUARTILE(Data!I$4:I$153,1),1,IF(Data!I46&lt;=MEDIAN(Data!I$4:I$153),2,IF(Data!I46&lt;=QUARTILE(Data!I$4:I$153,3),3,4)))</f>
        <v>4</v>
      </c>
      <c r="J46" s="8">
        <f>IF(Data!J46&lt;=QUARTILE(Data!J$4:J$153,1),1,IF(Data!J46&lt;=MEDIAN(Data!J$4:J$153),2,IF(Data!J46&lt;=QUARTILE(Data!J$4:J$153,3),3,4)))</f>
        <v>4</v>
      </c>
      <c r="K46" s="8">
        <f>IF(Data!K46&lt;=QUARTILE(Data!K$4:K$153,1),1,IF(Data!K46&lt;=MEDIAN(Data!K$4:K$153),2,IF(Data!K46&lt;=QUARTILE(Data!K$4:K$153,3),3,4)))</f>
        <v>4</v>
      </c>
      <c r="L46" s="8">
        <f>IF(Data!L46&lt;=QUARTILE(Data!L$4:L$153,1),1,IF(Data!L46&lt;=MEDIAN(Data!L$4:L$153),2,IF(Data!L46&lt;=QUARTILE(Data!L$4:L$153,3),3,4)))</f>
        <v>4</v>
      </c>
      <c r="M46" s="8">
        <f>IF(Data!M46&lt;=QUARTILE(Data!M$4:M$153,1),1,IF(Data!M46&lt;=MEDIAN(Data!M$4:M$153),2,IF(Data!M46&lt;=QUARTILE(Data!M$4:M$153,3),3,4)))</f>
        <v>2</v>
      </c>
      <c r="N46" s="8">
        <f>IF(Data!N46&lt;=QUARTILE(Data!N$4:N$153,1),1,IF(Data!N46&lt;=MEDIAN(Data!N$4:N$153),2,IF(Data!N46&lt;=QUARTILE(Data!N$4:N$153,3),3,4)))</f>
        <v>4</v>
      </c>
      <c r="O46" s="8">
        <f>IF(Data!O46&lt;=QUARTILE(Data!O$4:O$153,1),1,IF(Data!O46&lt;=MEDIAN(Data!O$4:O$153),2,IF(Data!O46&lt;=QUARTILE(Data!O$4:O$153,3),3,4)))</f>
        <v>4</v>
      </c>
      <c r="P46" s="8">
        <f>IF(Data!P46&lt;=QUARTILE(Data!P$4:P$153,1),1,IF(Data!P46&lt;=MEDIAN(Data!P$4:P$153),2,IF(Data!P46&lt;=QUARTILE(Data!P$4:P$153,3),3,4)))</f>
        <v>4</v>
      </c>
      <c r="Q46" s="8">
        <f>IF(Data!Q46&lt;=QUARTILE(Data!Q$4:Q$153,1),1,IF(Data!Q46&lt;=MEDIAN(Data!Q$4:Q$153),2,IF(Data!Q46&lt;=QUARTILE(Data!Q$4:Q$153,3),3,4)))</f>
        <v>3</v>
      </c>
      <c r="R46" s="8">
        <f>IF(Data!R46&lt;=QUARTILE(Data!R$4:R$153,1),1,IF(Data!R46&lt;=MEDIAN(Data!R$4:R$153),2,IF(Data!R46&lt;=QUARTILE(Data!R$4:R$153,3),3,4)))</f>
        <v>2</v>
      </c>
      <c r="S46" s="8">
        <f>IF(Data!S46&lt;=QUARTILE(Data!S$4:S$153,1),1,IF(Data!S46&lt;=MEDIAN(Data!S$4:S$153),2,IF(Data!S46&lt;=QUARTILE(Data!S$4:S$153,3),3,4)))</f>
        <v>2</v>
      </c>
      <c r="T46" s="9">
        <f>IF(Data!T46&lt;=QUARTILE(Data!T$4:T$153,1),1,IF(Data!T46&lt;=MEDIAN(Data!T$4:T$153),2,IF(Data!T46&lt;=QUARTILE(Data!T$4:T$153,3),3,4)))</f>
        <v>4</v>
      </c>
      <c r="U46" s="7">
        <f>IF(Data!U46&lt;=QUARTILE(Data!U$4:U$153,1),1,IF(Data!U46&lt;=MEDIAN(Data!U$4:U$153),2,IF(Data!U46&lt;=QUARTILE(Data!U$4:U$153,3),3,4)))</f>
        <v>4</v>
      </c>
      <c r="V46" s="8">
        <f>IF(Data!V46&lt;=QUARTILE(Data!V$4:V$153,1),1,IF(Data!V46&lt;=MEDIAN(Data!V$4:V$153),2,IF(Data!V46&lt;=QUARTILE(Data!V$4:V$153,3),3,4)))</f>
        <v>4</v>
      </c>
      <c r="W46" s="8">
        <f>IF(Data!W46&lt;=QUARTILE(Data!W$4:W$153,1),1,IF(Data!W46&lt;=MEDIAN(Data!W$4:W$153),2,IF(Data!W46&lt;=QUARTILE(Data!W$4:W$153,3),3,4)))</f>
        <v>4</v>
      </c>
      <c r="X46" s="8">
        <f>IF(Data!X46&lt;=QUARTILE(Data!X$4:X$153,1),1,IF(Data!X46&lt;=MEDIAN(Data!X$4:X$153),2,IF(Data!X46&lt;=QUARTILE(Data!X$4:X$153,3),3,4)))</f>
        <v>4</v>
      </c>
      <c r="Y46" s="8">
        <f>IF(Data!Y46&lt;=QUARTILE(Data!Y$4:Y$153,1),1,IF(Data!Y46&lt;=MEDIAN(Data!Y$4:Y$153),2,IF(Data!Y46&lt;=QUARTILE(Data!Y$4:Y$153,3),3,4)))</f>
        <v>2</v>
      </c>
      <c r="Z46" s="8">
        <f>IF(Data!Z46&lt;=QUARTILE(Data!Z$4:Z$153,1),1,IF(Data!Z46&lt;=MEDIAN(Data!Z$4:Z$153),2,IF(Data!Z46&lt;=QUARTILE(Data!Z$4:Z$153,3),3,4)))</f>
        <v>2</v>
      </c>
      <c r="AA46" s="8">
        <f>IF(Data!AA46&lt;=QUARTILE(Data!AA$4:AA$153,1),1,IF(Data!AA46&lt;=MEDIAN(Data!AA$4:AA$153),2,IF(Data!AA46&lt;=QUARTILE(Data!AA$4:AA$153,3),3,4)))</f>
        <v>4</v>
      </c>
      <c r="AB46" s="8">
        <f>IF(Data!AB46&lt;=QUARTILE(Data!AB$4:AB$153,1),1,IF(Data!AB46&lt;=MEDIAN(Data!AB$4:AB$153),2,IF(Data!AB46&lt;=QUARTILE(Data!AB$4:AB$153,3),3,4)))</f>
        <v>3</v>
      </c>
      <c r="AC46" s="8">
        <f>IF(Data!AC46&lt;=QUARTILE(Data!AC$4:AC$153,1),1,IF(Data!AC46&lt;=MEDIAN(Data!AC$4:AC$153),2,IF(Data!AC46&lt;=QUARTILE(Data!AC$4:AC$153,3),3,4)))</f>
        <v>3</v>
      </c>
      <c r="AD46" s="8">
        <f>IF(Data!AD46&lt;=QUARTILE(Data!AD$4:AD$153,1),1,IF(Data!AD46&lt;=MEDIAN(Data!AD$4:AD$153),2,IF(Data!AD46&lt;=QUARTILE(Data!AD$4:AD$153,3),3,4)))</f>
        <v>3</v>
      </c>
      <c r="AE46" s="8">
        <f>IF(Data!AE46&lt;=QUARTILE(Data!AE$4:AE$153,1),1,IF(Data!AE46&lt;=MEDIAN(Data!AE$4:AE$153),2,IF(Data!AE46&lt;=QUARTILE(Data!AE$4:AE$153,3),3,4)))</f>
        <v>2</v>
      </c>
      <c r="AF46" s="8">
        <f>IF(Data!AF46&lt;=QUARTILE(Data!AF$4:AF$153,1),1,IF(Data!AF46&lt;=MEDIAN(Data!AF$4:AF$153),2,IF(Data!AF46&lt;=QUARTILE(Data!AF$4:AF$153,3),3,4)))</f>
        <v>2</v>
      </c>
      <c r="AG46" s="8">
        <f>IF(Data!AG46&lt;=QUARTILE(Data!AG$4:AG$153,1),1,IF(Data!AG46&lt;=MEDIAN(Data!AG$4:AG$153),2,IF(Data!AG46&lt;=QUARTILE(Data!AG$4:AG$153,3),3,4)))</f>
        <v>3</v>
      </c>
      <c r="AH46" s="9">
        <f>IF(Data!AH46&lt;=QUARTILE(Data!AH$4:AH$153,1),1,IF(Data!AH46&lt;=MEDIAN(Data!AH$4:AH$153),2,IF(Data!AH46&lt;=QUARTILE(Data!AH$4:AH$153,3),3,4)))</f>
        <v>3</v>
      </c>
    </row>
    <row r="47" spans="1:34" x14ac:dyDescent="0.25">
      <c r="A47" s="7" t="s">
        <v>28</v>
      </c>
      <c r="B47" s="14" t="s">
        <v>57</v>
      </c>
      <c r="C47" s="7">
        <v>22</v>
      </c>
      <c r="D47" s="8">
        <v>60</v>
      </c>
      <c r="E47" s="42" t="s">
        <v>59</v>
      </c>
      <c r="F47" s="9">
        <v>-5.75</v>
      </c>
      <c r="G47" s="7">
        <f>IF(Data!G47&lt;=QUARTILE(Data!G$4:G$153,1),1,IF(Data!G47&lt;=MEDIAN(Data!G$4:G$153),2,IF(Data!G47&lt;=QUARTILE(Data!G$4:G$153,3),3,4)))</f>
        <v>4</v>
      </c>
      <c r="H47" s="8">
        <f>IF(Data!H47&lt;=QUARTILE(Data!H$4:H$153,1),1,IF(Data!H47&lt;=MEDIAN(Data!H$4:H$153),2,IF(Data!H47&lt;=QUARTILE(Data!H$4:H$153,3),3,4)))</f>
        <v>4</v>
      </c>
      <c r="I47" s="8">
        <f>IF(Data!I47&lt;=QUARTILE(Data!I$4:I$153,1),1,IF(Data!I47&lt;=MEDIAN(Data!I$4:I$153),2,IF(Data!I47&lt;=QUARTILE(Data!I$4:I$153,3),3,4)))</f>
        <v>4</v>
      </c>
      <c r="J47" s="8">
        <f>IF(Data!J47&lt;=QUARTILE(Data!J$4:J$153,1),1,IF(Data!J47&lt;=MEDIAN(Data!J$4:J$153),2,IF(Data!J47&lt;=QUARTILE(Data!J$4:J$153,3),3,4)))</f>
        <v>4</v>
      </c>
      <c r="K47" s="8">
        <f>IF(Data!K47&lt;=QUARTILE(Data!K$4:K$153,1),1,IF(Data!K47&lt;=MEDIAN(Data!K$4:K$153),2,IF(Data!K47&lt;=QUARTILE(Data!K$4:K$153,3),3,4)))</f>
        <v>2</v>
      </c>
      <c r="L47" s="8">
        <f>IF(Data!L47&lt;=QUARTILE(Data!L$4:L$153,1),1,IF(Data!L47&lt;=MEDIAN(Data!L$4:L$153),2,IF(Data!L47&lt;=QUARTILE(Data!L$4:L$153,3),3,4)))</f>
        <v>3</v>
      </c>
      <c r="M47" s="8">
        <f>IF(Data!M47&lt;=QUARTILE(Data!M$4:M$153,1),1,IF(Data!M47&lt;=MEDIAN(Data!M$4:M$153),2,IF(Data!M47&lt;=QUARTILE(Data!M$4:M$153,3),3,4)))</f>
        <v>1</v>
      </c>
      <c r="N47" s="8">
        <f>IF(Data!N47&lt;=QUARTILE(Data!N$4:N$153,1),1,IF(Data!N47&lt;=MEDIAN(Data!N$4:N$153),2,IF(Data!N47&lt;=QUARTILE(Data!N$4:N$153,3),3,4)))</f>
        <v>4</v>
      </c>
      <c r="O47" s="8">
        <f>IF(Data!O47&lt;=QUARTILE(Data!O$4:O$153,1),1,IF(Data!O47&lt;=MEDIAN(Data!O$4:O$153),2,IF(Data!O47&lt;=QUARTILE(Data!O$4:O$153,3),3,4)))</f>
        <v>1</v>
      </c>
      <c r="P47" s="8">
        <f>IF(Data!P47&lt;=QUARTILE(Data!P$4:P$153,1),1,IF(Data!P47&lt;=MEDIAN(Data!P$4:P$153),2,IF(Data!P47&lt;=QUARTILE(Data!P$4:P$153,3),3,4)))</f>
        <v>1</v>
      </c>
      <c r="Q47" s="8">
        <f>IF(Data!Q47&lt;=QUARTILE(Data!Q$4:Q$153,1),1,IF(Data!Q47&lt;=MEDIAN(Data!Q$4:Q$153),2,IF(Data!Q47&lt;=QUARTILE(Data!Q$4:Q$153,3),3,4)))</f>
        <v>2</v>
      </c>
      <c r="R47" s="8">
        <f>IF(Data!R47&lt;=QUARTILE(Data!R$4:R$153,1),1,IF(Data!R47&lt;=MEDIAN(Data!R$4:R$153),2,IF(Data!R47&lt;=QUARTILE(Data!R$4:R$153,3),3,4)))</f>
        <v>4</v>
      </c>
      <c r="S47" s="8">
        <f>IF(Data!S47&lt;=QUARTILE(Data!S$4:S$153,1),1,IF(Data!S47&lt;=MEDIAN(Data!S$4:S$153),2,IF(Data!S47&lt;=QUARTILE(Data!S$4:S$153,3),3,4)))</f>
        <v>1</v>
      </c>
      <c r="T47" s="9">
        <f>IF(Data!T47&lt;=QUARTILE(Data!T$4:T$153,1),1,IF(Data!T47&lt;=MEDIAN(Data!T$4:T$153),2,IF(Data!T47&lt;=QUARTILE(Data!T$4:T$153,3),3,4)))</f>
        <v>4</v>
      </c>
      <c r="U47" s="7">
        <f>IF(Data!U47&lt;=QUARTILE(Data!U$4:U$153,1),1,IF(Data!U47&lt;=MEDIAN(Data!U$4:U$153),2,IF(Data!U47&lt;=QUARTILE(Data!U$4:U$153,3),3,4)))</f>
        <v>4</v>
      </c>
      <c r="V47" s="8">
        <f>IF(Data!V47&lt;=QUARTILE(Data!V$4:V$153,1),1,IF(Data!V47&lt;=MEDIAN(Data!V$4:V$153),2,IF(Data!V47&lt;=QUARTILE(Data!V$4:V$153,3),3,4)))</f>
        <v>4</v>
      </c>
      <c r="W47" s="8">
        <f>IF(Data!W47&lt;=QUARTILE(Data!W$4:W$153,1),1,IF(Data!W47&lt;=MEDIAN(Data!W$4:W$153),2,IF(Data!W47&lt;=QUARTILE(Data!W$4:W$153,3),3,4)))</f>
        <v>4</v>
      </c>
      <c r="X47" s="8">
        <f>IF(Data!X47&lt;=QUARTILE(Data!X$4:X$153,1),1,IF(Data!X47&lt;=MEDIAN(Data!X$4:X$153),2,IF(Data!X47&lt;=QUARTILE(Data!X$4:X$153,3),3,4)))</f>
        <v>4</v>
      </c>
      <c r="Y47" s="8">
        <f>IF(Data!Y47&lt;=QUARTILE(Data!Y$4:Y$153,1),1,IF(Data!Y47&lt;=MEDIAN(Data!Y$4:Y$153),2,IF(Data!Y47&lt;=QUARTILE(Data!Y$4:Y$153,3),3,4)))</f>
        <v>1</v>
      </c>
      <c r="Z47" s="8">
        <f>IF(Data!Z47&lt;=QUARTILE(Data!Z$4:Z$153,1),1,IF(Data!Z47&lt;=MEDIAN(Data!Z$4:Z$153),2,IF(Data!Z47&lt;=QUARTILE(Data!Z$4:Z$153,3),3,4)))</f>
        <v>1</v>
      </c>
      <c r="AA47" s="8">
        <f>IF(Data!AA47&lt;=QUARTILE(Data!AA$4:AA$153,1),1,IF(Data!AA47&lt;=MEDIAN(Data!AA$4:AA$153),2,IF(Data!AA47&lt;=QUARTILE(Data!AA$4:AA$153,3),3,4)))</f>
        <v>3</v>
      </c>
      <c r="AB47" s="8">
        <f>IF(Data!AB47&lt;=QUARTILE(Data!AB$4:AB$153,1),1,IF(Data!AB47&lt;=MEDIAN(Data!AB$4:AB$153),2,IF(Data!AB47&lt;=QUARTILE(Data!AB$4:AB$153,3),3,4)))</f>
        <v>4</v>
      </c>
      <c r="AC47" s="8">
        <f>IF(Data!AC47&lt;=QUARTILE(Data!AC$4:AC$153,1),1,IF(Data!AC47&lt;=MEDIAN(Data!AC$4:AC$153),2,IF(Data!AC47&lt;=QUARTILE(Data!AC$4:AC$153,3),3,4)))</f>
        <v>4</v>
      </c>
      <c r="AD47" s="8">
        <f>IF(Data!AD47&lt;=QUARTILE(Data!AD$4:AD$153,1),1,IF(Data!AD47&lt;=MEDIAN(Data!AD$4:AD$153),2,IF(Data!AD47&lt;=QUARTILE(Data!AD$4:AD$153,3),3,4)))</f>
        <v>4</v>
      </c>
      <c r="AE47" s="8">
        <f>IF(Data!AE47&lt;=QUARTILE(Data!AE$4:AE$153,1),1,IF(Data!AE47&lt;=MEDIAN(Data!AE$4:AE$153),2,IF(Data!AE47&lt;=QUARTILE(Data!AE$4:AE$153,3),3,4)))</f>
        <v>3</v>
      </c>
      <c r="AF47" s="8">
        <f>IF(Data!AF47&lt;=QUARTILE(Data!AF$4:AF$153,1),1,IF(Data!AF47&lt;=MEDIAN(Data!AF$4:AF$153),2,IF(Data!AF47&lt;=QUARTILE(Data!AF$4:AF$153,3),3,4)))</f>
        <v>1</v>
      </c>
      <c r="AG47" s="8">
        <f>IF(Data!AG47&lt;=QUARTILE(Data!AG$4:AG$153,1),1,IF(Data!AG47&lt;=MEDIAN(Data!AG$4:AG$153),2,IF(Data!AG47&lt;=QUARTILE(Data!AG$4:AG$153,3),3,4)))</f>
        <v>3</v>
      </c>
      <c r="AH47" s="9">
        <f>IF(Data!AH47&lt;=QUARTILE(Data!AH$4:AH$153,1),1,IF(Data!AH47&lt;=MEDIAN(Data!AH$4:AH$153),2,IF(Data!AH47&lt;=QUARTILE(Data!AH$4:AH$153,3),3,4)))</f>
        <v>4</v>
      </c>
    </row>
    <row r="48" spans="1:34" x14ac:dyDescent="0.25">
      <c r="A48" s="7" t="s">
        <v>54</v>
      </c>
      <c r="B48" s="14" t="s">
        <v>57</v>
      </c>
      <c r="C48" s="7">
        <v>15</v>
      </c>
      <c r="D48" s="8">
        <v>67</v>
      </c>
      <c r="E48" s="42" t="s">
        <v>59</v>
      </c>
      <c r="F48" s="9">
        <v>-8.5299999999999994</v>
      </c>
      <c r="G48" s="7">
        <f>IF(Data!G48&lt;=QUARTILE(Data!G$4:G$153,1),1,IF(Data!G48&lt;=MEDIAN(Data!G$4:G$153),2,IF(Data!G48&lt;=QUARTILE(Data!G$4:G$153,3),3,4)))</f>
        <v>1</v>
      </c>
      <c r="H48" s="8">
        <f>IF(Data!H48&lt;=QUARTILE(Data!H$4:H$153,1),1,IF(Data!H48&lt;=MEDIAN(Data!H$4:H$153),2,IF(Data!H48&lt;=QUARTILE(Data!H$4:H$153,3),3,4)))</f>
        <v>1</v>
      </c>
      <c r="I48" s="8">
        <f>IF(Data!I48&lt;=QUARTILE(Data!I$4:I$153,1),1,IF(Data!I48&lt;=MEDIAN(Data!I$4:I$153),2,IF(Data!I48&lt;=QUARTILE(Data!I$4:I$153,3),3,4)))</f>
        <v>2</v>
      </c>
      <c r="J48" s="8">
        <f>IF(Data!J48&lt;=QUARTILE(Data!J$4:J$153,1),1,IF(Data!J48&lt;=MEDIAN(Data!J$4:J$153),2,IF(Data!J48&lt;=QUARTILE(Data!J$4:J$153,3),3,4)))</f>
        <v>2</v>
      </c>
      <c r="K48" s="8">
        <f>IF(Data!K48&lt;=QUARTILE(Data!K$4:K$153,1),1,IF(Data!K48&lt;=MEDIAN(Data!K$4:K$153),2,IF(Data!K48&lt;=QUARTILE(Data!K$4:K$153,3),3,4)))</f>
        <v>1</v>
      </c>
      <c r="L48" s="8">
        <f>IF(Data!L48&lt;=QUARTILE(Data!L$4:L$153,1),1,IF(Data!L48&lt;=MEDIAN(Data!L$4:L$153),2,IF(Data!L48&lt;=QUARTILE(Data!L$4:L$153,3),3,4)))</f>
        <v>1</v>
      </c>
      <c r="M48" s="8">
        <f>IF(Data!M48&lt;=QUARTILE(Data!M$4:M$153,1),1,IF(Data!M48&lt;=MEDIAN(Data!M$4:M$153),2,IF(Data!M48&lt;=QUARTILE(Data!M$4:M$153,3),3,4)))</f>
        <v>1</v>
      </c>
      <c r="N48" s="8">
        <f>IF(Data!N48&lt;=QUARTILE(Data!N$4:N$153,1),1,IF(Data!N48&lt;=MEDIAN(Data!N$4:N$153),2,IF(Data!N48&lt;=QUARTILE(Data!N$4:N$153,3),3,4)))</f>
        <v>1</v>
      </c>
      <c r="O48" s="8">
        <f>IF(Data!O48&lt;=QUARTILE(Data!O$4:O$153,1),1,IF(Data!O48&lt;=MEDIAN(Data!O$4:O$153),2,IF(Data!O48&lt;=QUARTILE(Data!O$4:O$153,3),3,4)))</f>
        <v>1</v>
      </c>
      <c r="P48" s="8">
        <f>IF(Data!P48&lt;=QUARTILE(Data!P$4:P$153,1),1,IF(Data!P48&lt;=MEDIAN(Data!P$4:P$153),2,IF(Data!P48&lt;=QUARTILE(Data!P$4:P$153,3),3,4)))</f>
        <v>2</v>
      </c>
      <c r="Q48" s="8">
        <f>IF(Data!Q48&lt;=QUARTILE(Data!Q$4:Q$153,1),1,IF(Data!Q48&lt;=MEDIAN(Data!Q$4:Q$153),2,IF(Data!Q48&lt;=QUARTILE(Data!Q$4:Q$153,3),3,4)))</f>
        <v>2</v>
      </c>
      <c r="R48" s="8">
        <f>IF(Data!R48&lt;=QUARTILE(Data!R$4:R$153,1),1,IF(Data!R48&lt;=MEDIAN(Data!R$4:R$153),2,IF(Data!R48&lt;=QUARTILE(Data!R$4:R$153,3),3,4)))</f>
        <v>3</v>
      </c>
      <c r="S48" s="8">
        <f>IF(Data!S48&lt;=QUARTILE(Data!S$4:S$153,1),1,IF(Data!S48&lt;=MEDIAN(Data!S$4:S$153),2,IF(Data!S48&lt;=QUARTILE(Data!S$4:S$153,3),3,4)))</f>
        <v>1</v>
      </c>
      <c r="T48" s="9">
        <f>IF(Data!T48&lt;=QUARTILE(Data!T$4:T$153,1),1,IF(Data!T48&lt;=MEDIAN(Data!T$4:T$153),2,IF(Data!T48&lt;=QUARTILE(Data!T$4:T$153,3),3,4)))</f>
        <v>1</v>
      </c>
      <c r="U48" s="7">
        <f>IF(Data!U48&lt;=QUARTILE(Data!U$4:U$153,1),1,IF(Data!U48&lt;=MEDIAN(Data!U$4:U$153),2,IF(Data!U48&lt;=QUARTILE(Data!U$4:U$153,3),3,4)))</f>
        <v>3</v>
      </c>
      <c r="V48" s="8">
        <f>IF(Data!V48&lt;=QUARTILE(Data!V$4:V$153,1),1,IF(Data!V48&lt;=MEDIAN(Data!V$4:V$153),2,IF(Data!V48&lt;=QUARTILE(Data!V$4:V$153,3),3,4)))</f>
        <v>2</v>
      </c>
      <c r="W48" s="8">
        <f>IF(Data!W48&lt;=QUARTILE(Data!W$4:W$153,1),1,IF(Data!W48&lt;=MEDIAN(Data!W$4:W$153),2,IF(Data!W48&lt;=QUARTILE(Data!W$4:W$153,3),3,4)))</f>
        <v>3</v>
      </c>
      <c r="X48" s="8">
        <f>IF(Data!X48&lt;=QUARTILE(Data!X$4:X$153,1),1,IF(Data!X48&lt;=MEDIAN(Data!X$4:X$153),2,IF(Data!X48&lt;=QUARTILE(Data!X$4:X$153,3),3,4)))</f>
        <v>3</v>
      </c>
      <c r="Y48" s="8">
        <f>IF(Data!Y48&lt;=QUARTILE(Data!Y$4:Y$153,1),1,IF(Data!Y48&lt;=MEDIAN(Data!Y$4:Y$153),2,IF(Data!Y48&lt;=QUARTILE(Data!Y$4:Y$153,3),3,4)))</f>
        <v>2</v>
      </c>
      <c r="Z48" s="8">
        <f>IF(Data!Z48&lt;=QUARTILE(Data!Z$4:Z$153,1),1,IF(Data!Z48&lt;=MEDIAN(Data!Z$4:Z$153),2,IF(Data!Z48&lt;=QUARTILE(Data!Z$4:Z$153,3),3,4)))</f>
        <v>2</v>
      </c>
      <c r="AA48" s="8">
        <f>IF(Data!AA48&lt;=QUARTILE(Data!AA$4:AA$153,1),1,IF(Data!AA48&lt;=MEDIAN(Data!AA$4:AA$153),2,IF(Data!AA48&lt;=QUARTILE(Data!AA$4:AA$153,3),3,4)))</f>
        <v>2</v>
      </c>
      <c r="AB48" s="8">
        <f>IF(Data!AB48&lt;=QUARTILE(Data!AB$4:AB$153,1),1,IF(Data!AB48&lt;=MEDIAN(Data!AB$4:AB$153),2,IF(Data!AB48&lt;=QUARTILE(Data!AB$4:AB$153,3),3,4)))</f>
        <v>4</v>
      </c>
      <c r="AC48" s="8">
        <f>IF(Data!AC48&lt;=QUARTILE(Data!AC$4:AC$153,1),1,IF(Data!AC48&lt;=MEDIAN(Data!AC$4:AC$153),2,IF(Data!AC48&lt;=QUARTILE(Data!AC$4:AC$153,3),3,4)))</f>
        <v>3</v>
      </c>
      <c r="AD48" s="8">
        <f>IF(Data!AD48&lt;=QUARTILE(Data!AD$4:AD$153,1),1,IF(Data!AD48&lt;=MEDIAN(Data!AD$4:AD$153),2,IF(Data!AD48&lt;=QUARTILE(Data!AD$4:AD$153,3),3,4)))</f>
        <v>3</v>
      </c>
      <c r="AE48" s="8">
        <f>IF(Data!AE48&lt;=QUARTILE(Data!AE$4:AE$153,1),1,IF(Data!AE48&lt;=MEDIAN(Data!AE$4:AE$153),2,IF(Data!AE48&lt;=QUARTILE(Data!AE$4:AE$153,3),3,4)))</f>
        <v>1</v>
      </c>
      <c r="AF48" s="8">
        <f>IF(Data!AF48&lt;=QUARTILE(Data!AF$4:AF$153,1),1,IF(Data!AF48&lt;=MEDIAN(Data!AF$4:AF$153),2,IF(Data!AF48&lt;=QUARTILE(Data!AF$4:AF$153,3),3,4)))</f>
        <v>2</v>
      </c>
      <c r="AG48" s="8">
        <f>IF(Data!AG48&lt;=QUARTILE(Data!AG$4:AG$153,1),1,IF(Data!AG48&lt;=MEDIAN(Data!AG$4:AG$153),2,IF(Data!AG48&lt;=QUARTILE(Data!AG$4:AG$153,3),3,4)))</f>
        <v>1</v>
      </c>
      <c r="AH48" s="9">
        <f>IF(Data!AH48&lt;=QUARTILE(Data!AH$4:AH$153,1),1,IF(Data!AH48&lt;=MEDIAN(Data!AH$4:AH$153),2,IF(Data!AH48&lt;=QUARTILE(Data!AH$4:AH$153,3),3,4)))</f>
        <v>3</v>
      </c>
    </row>
    <row r="49" spans="1:34" x14ac:dyDescent="0.25">
      <c r="A49" s="7" t="s">
        <v>21</v>
      </c>
      <c r="B49" s="14" t="s">
        <v>57</v>
      </c>
      <c r="C49" s="7">
        <v>26</v>
      </c>
      <c r="D49" s="8">
        <v>56</v>
      </c>
      <c r="E49" s="42" t="s">
        <v>59</v>
      </c>
      <c r="F49" s="9">
        <v>-6.91</v>
      </c>
      <c r="G49" s="7">
        <f>IF(Data!G49&lt;=QUARTILE(Data!G$4:G$153,1),1,IF(Data!G49&lt;=MEDIAN(Data!G$4:G$153),2,IF(Data!G49&lt;=QUARTILE(Data!G$4:G$153,3),3,4)))</f>
        <v>3</v>
      </c>
      <c r="H49" s="8">
        <f>IF(Data!H49&lt;=QUARTILE(Data!H$4:H$153,1),1,IF(Data!H49&lt;=MEDIAN(Data!H$4:H$153),2,IF(Data!H49&lt;=QUARTILE(Data!H$4:H$153,3),3,4)))</f>
        <v>4</v>
      </c>
      <c r="I49" s="8">
        <f>IF(Data!I49&lt;=QUARTILE(Data!I$4:I$153,1),1,IF(Data!I49&lt;=MEDIAN(Data!I$4:I$153),2,IF(Data!I49&lt;=QUARTILE(Data!I$4:I$153,3),3,4)))</f>
        <v>2</v>
      </c>
      <c r="J49" s="8">
        <f>IF(Data!J49&lt;=QUARTILE(Data!J$4:J$153,1),1,IF(Data!J49&lt;=MEDIAN(Data!J$4:J$153),2,IF(Data!J49&lt;=QUARTILE(Data!J$4:J$153,3),3,4)))</f>
        <v>2</v>
      </c>
      <c r="K49" s="8">
        <f>IF(Data!K49&lt;=QUARTILE(Data!K$4:K$153,1),1,IF(Data!K49&lt;=MEDIAN(Data!K$4:K$153),2,IF(Data!K49&lt;=QUARTILE(Data!K$4:K$153,3),3,4)))</f>
        <v>1</v>
      </c>
      <c r="L49" s="8">
        <f>IF(Data!L49&lt;=QUARTILE(Data!L$4:L$153,1),1,IF(Data!L49&lt;=MEDIAN(Data!L$4:L$153),2,IF(Data!L49&lt;=QUARTILE(Data!L$4:L$153,3),3,4)))</f>
        <v>2</v>
      </c>
      <c r="M49" s="8">
        <f>IF(Data!M49&lt;=QUARTILE(Data!M$4:M$153,1),1,IF(Data!M49&lt;=MEDIAN(Data!M$4:M$153),2,IF(Data!M49&lt;=QUARTILE(Data!M$4:M$153,3),3,4)))</f>
        <v>4</v>
      </c>
      <c r="N49" s="8">
        <f>IF(Data!N49&lt;=QUARTILE(Data!N$4:N$153,1),1,IF(Data!N49&lt;=MEDIAN(Data!N$4:N$153),2,IF(Data!N49&lt;=QUARTILE(Data!N$4:N$153,3),3,4)))</f>
        <v>1</v>
      </c>
      <c r="O49" s="8">
        <f>IF(Data!O49&lt;=QUARTILE(Data!O$4:O$153,1),1,IF(Data!O49&lt;=MEDIAN(Data!O$4:O$153),2,IF(Data!O49&lt;=QUARTILE(Data!O$4:O$153,3),3,4)))</f>
        <v>3</v>
      </c>
      <c r="P49" s="8">
        <f>IF(Data!P49&lt;=QUARTILE(Data!P$4:P$153,1),1,IF(Data!P49&lt;=MEDIAN(Data!P$4:P$153),2,IF(Data!P49&lt;=QUARTILE(Data!P$4:P$153,3),3,4)))</f>
        <v>1</v>
      </c>
      <c r="Q49" s="8">
        <f>IF(Data!Q49&lt;=QUARTILE(Data!Q$4:Q$153,1),1,IF(Data!Q49&lt;=MEDIAN(Data!Q$4:Q$153),2,IF(Data!Q49&lt;=QUARTILE(Data!Q$4:Q$153,3),3,4)))</f>
        <v>2</v>
      </c>
      <c r="R49" s="8">
        <f>IF(Data!R49&lt;=QUARTILE(Data!R$4:R$153,1),1,IF(Data!R49&lt;=MEDIAN(Data!R$4:R$153),2,IF(Data!R49&lt;=QUARTILE(Data!R$4:R$153,3),3,4)))</f>
        <v>3</v>
      </c>
      <c r="S49" s="8">
        <f>IF(Data!S49&lt;=QUARTILE(Data!S$4:S$153,1),1,IF(Data!S49&lt;=MEDIAN(Data!S$4:S$153),2,IF(Data!S49&lt;=QUARTILE(Data!S$4:S$153,3),3,4)))</f>
        <v>2</v>
      </c>
      <c r="T49" s="9">
        <f>IF(Data!T49&lt;=QUARTILE(Data!T$4:T$153,1),1,IF(Data!T49&lt;=MEDIAN(Data!T$4:T$153),2,IF(Data!T49&lt;=QUARTILE(Data!T$4:T$153,3),3,4)))</f>
        <v>2</v>
      </c>
      <c r="U49" s="7">
        <f>IF(Data!U49&lt;=QUARTILE(Data!U$4:U$153,1),1,IF(Data!U49&lt;=MEDIAN(Data!U$4:U$153),2,IF(Data!U49&lt;=QUARTILE(Data!U$4:U$153,3),3,4)))</f>
        <v>4</v>
      </c>
      <c r="V49" s="8">
        <f>IF(Data!V49&lt;=QUARTILE(Data!V$4:V$153,1),1,IF(Data!V49&lt;=MEDIAN(Data!V$4:V$153),2,IF(Data!V49&lt;=QUARTILE(Data!V$4:V$153,3),3,4)))</f>
        <v>3</v>
      </c>
      <c r="W49" s="8">
        <f>IF(Data!W49&lt;=QUARTILE(Data!W$4:W$153,1),1,IF(Data!W49&lt;=MEDIAN(Data!W$4:W$153),2,IF(Data!W49&lt;=QUARTILE(Data!W$4:W$153,3),3,4)))</f>
        <v>4</v>
      </c>
      <c r="X49" s="8">
        <f>IF(Data!X49&lt;=QUARTILE(Data!X$4:X$153,1),1,IF(Data!X49&lt;=MEDIAN(Data!X$4:X$153),2,IF(Data!X49&lt;=QUARTILE(Data!X$4:X$153,3),3,4)))</f>
        <v>4</v>
      </c>
      <c r="Y49" s="8">
        <f>IF(Data!Y49&lt;=QUARTILE(Data!Y$4:Y$153,1),1,IF(Data!Y49&lt;=MEDIAN(Data!Y$4:Y$153),2,IF(Data!Y49&lt;=QUARTILE(Data!Y$4:Y$153,3),3,4)))</f>
        <v>3</v>
      </c>
      <c r="Z49" s="8">
        <f>IF(Data!Z49&lt;=QUARTILE(Data!Z$4:Z$153,1),1,IF(Data!Z49&lt;=MEDIAN(Data!Z$4:Z$153),2,IF(Data!Z49&lt;=QUARTILE(Data!Z$4:Z$153,3),3,4)))</f>
        <v>3</v>
      </c>
      <c r="AA49" s="8">
        <f>IF(Data!AA49&lt;=QUARTILE(Data!AA$4:AA$153,1),1,IF(Data!AA49&lt;=MEDIAN(Data!AA$4:AA$153),2,IF(Data!AA49&lt;=QUARTILE(Data!AA$4:AA$153,3),3,4)))</f>
        <v>1</v>
      </c>
      <c r="AB49" s="8">
        <f>IF(Data!AB49&lt;=QUARTILE(Data!AB$4:AB$153,1),1,IF(Data!AB49&lt;=MEDIAN(Data!AB$4:AB$153),2,IF(Data!AB49&lt;=QUARTILE(Data!AB$4:AB$153,3),3,4)))</f>
        <v>2</v>
      </c>
      <c r="AC49" s="8">
        <f>IF(Data!AC49&lt;=QUARTILE(Data!AC$4:AC$153,1),1,IF(Data!AC49&lt;=MEDIAN(Data!AC$4:AC$153),2,IF(Data!AC49&lt;=QUARTILE(Data!AC$4:AC$153,3),3,4)))</f>
        <v>4</v>
      </c>
      <c r="AD49" s="8">
        <f>IF(Data!AD49&lt;=QUARTILE(Data!AD$4:AD$153,1),1,IF(Data!AD49&lt;=MEDIAN(Data!AD$4:AD$153),2,IF(Data!AD49&lt;=QUARTILE(Data!AD$4:AD$153,3),3,4)))</f>
        <v>4</v>
      </c>
      <c r="AE49" s="8">
        <f>IF(Data!AE49&lt;=QUARTILE(Data!AE$4:AE$153,1),1,IF(Data!AE49&lt;=MEDIAN(Data!AE$4:AE$153),2,IF(Data!AE49&lt;=QUARTILE(Data!AE$4:AE$153,3),3,4)))</f>
        <v>3</v>
      </c>
      <c r="AF49" s="8">
        <f>IF(Data!AF49&lt;=QUARTILE(Data!AF$4:AF$153,1),1,IF(Data!AF49&lt;=MEDIAN(Data!AF$4:AF$153),2,IF(Data!AF49&lt;=QUARTILE(Data!AF$4:AF$153,3),3,4)))</f>
        <v>2</v>
      </c>
      <c r="AG49" s="8">
        <f>IF(Data!AG49&lt;=QUARTILE(Data!AG$4:AG$153,1),1,IF(Data!AG49&lt;=MEDIAN(Data!AG$4:AG$153),2,IF(Data!AG49&lt;=QUARTILE(Data!AG$4:AG$153,3),3,4)))</f>
        <v>2</v>
      </c>
      <c r="AH49" s="9">
        <f>IF(Data!AH49&lt;=QUARTILE(Data!AH$4:AH$153,1),1,IF(Data!AH49&lt;=MEDIAN(Data!AH$4:AH$153),2,IF(Data!AH49&lt;=QUARTILE(Data!AH$4:AH$153,3),3,4)))</f>
        <v>4</v>
      </c>
    </row>
    <row r="50" spans="1:34" x14ac:dyDescent="0.25">
      <c r="A50" s="7" t="s">
        <v>24</v>
      </c>
      <c r="B50" s="14" t="s">
        <v>57</v>
      </c>
      <c r="C50" s="7">
        <v>22</v>
      </c>
      <c r="D50" s="8">
        <v>60</v>
      </c>
      <c r="E50" s="42" t="s">
        <v>59</v>
      </c>
      <c r="F50" s="9">
        <v>-6.25</v>
      </c>
      <c r="G50" s="7">
        <f>IF(Data!G50&lt;=QUARTILE(Data!G$4:G$153,1),1,IF(Data!G50&lt;=MEDIAN(Data!G$4:G$153),2,IF(Data!G50&lt;=QUARTILE(Data!G$4:G$153,3),3,4)))</f>
        <v>4</v>
      </c>
      <c r="H50" s="8">
        <f>IF(Data!H50&lt;=QUARTILE(Data!H$4:H$153,1),1,IF(Data!H50&lt;=MEDIAN(Data!H$4:H$153),2,IF(Data!H50&lt;=QUARTILE(Data!H$4:H$153,3),3,4)))</f>
        <v>4</v>
      </c>
      <c r="I50" s="8">
        <f>IF(Data!I50&lt;=QUARTILE(Data!I$4:I$153,1),1,IF(Data!I50&lt;=MEDIAN(Data!I$4:I$153),2,IF(Data!I50&lt;=QUARTILE(Data!I$4:I$153,3),3,4)))</f>
        <v>2</v>
      </c>
      <c r="J50" s="8">
        <f>IF(Data!J50&lt;=QUARTILE(Data!J$4:J$153,1),1,IF(Data!J50&lt;=MEDIAN(Data!J$4:J$153),2,IF(Data!J50&lt;=QUARTILE(Data!J$4:J$153,3),3,4)))</f>
        <v>2</v>
      </c>
      <c r="K50" s="8">
        <f>IF(Data!K50&lt;=QUARTILE(Data!K$4:K$153,1),1,IF(Data!K50&lt;=MEDIAN(Data!K$4:K$153),2,IF(Data!K50&lt;=QUARTILE(Data!K$4:K$153,3),3,4)))</f>
        <v>1</v>
      </c>
      <c r="L50" s="8">
        <f>IF(Data!L50&lt;=QUARTILE(Data!L$4:L$153,1),1,IF(Data!L50&lt;=MEDIAN(Data!L$4:L$153),2,IF(Data!L50&lt;=QUARTILE(Data!L$4:L$153,3),3,4)))</f>
        <v>1</v>
      </c>
      <c r="M50" s="8">
        <f>IF(Data!M50&lt;=QUARTILE(Data!M$4:M$153,1),1,IF(Data!M50&lt;=MEDIAN(Data!M$4:M$153),2,IF(Data!M50&lt;=QUARTILE(Data!M$4:M$153,3),3,4)))</f>
        <v>3</v>
      </c>
      <c r="N50" s="8">
        <f>IF(Data!N50&lt;=QUARTILE(Data!N$4:N$153,1),1,IF(Data!N50&lt;=MEDIAN(Data!N$4:N$153),2,IF(Data!N50&lt;=QUARTILE(Data!N$4:N$153,3),3,4)))</f>
        <v>2</v>
      </c>
      <c r="O50" s="8">
        <f>IF(Data!O50&lt;=QUARTILE(Data!O$4:O$153,1),1,IF(Data!O50&lt;=MEDIAN(Data!O$4:O$153),2,IF(Data!O50&lt;=QUARTILE(Data!O$4:O$153,3),3,4)))</f>
        <v>1</v>
      </c>
      <c r="P50" s="8">
        <f>IF(Data!P50&lt;=QUARTILE(Data!P$4:P$153,1),1,IF(Data!P50&lt;=MEDIAN(Data!P$4:P$153),2,IF(Data!P50&lt;=QUARTILE(Data!P$4:P$153,3),3,4)))</f>
        <v>3</v>
      </c>
      <c r="Q50" s="8">
        <f>IF(Data!Q50&lt;=QUARTILE(Data!Q$4:Q$153,1),1,IF(Data!Q50&lt;=MEDIAN(Data!Q$4:Q$153),2,IF(Data!Q50&lt;=QUARTILE(Data!Q$4:Q$153,3),3,4)))</f>
        <v>1</v>
      </c>
      <c r="R50" s="8">
        <f>IF(Data!R50&lt;=QUARTILE(Data!R$4:R$153,1),1,IF(Data!R50&lt;=MEDIAN(Data!R$4:R$153),2,IF(Data!R50&lt;=QUARTILE(Data!R$4:R$153,3),3,4)))</f>
        <v>3</v>
      </c>
      <c r="S50" s="8">
        <f>IF(Data!S50&lt;=QUARTILE(Data!S$4:S$153,1),1,IF(Data!S50&lt;=MEDIAN(Data!S$4:S$153),2,IF(Data!S50&lt;=QUARTILE(Data!S$4:S$153,3),3,4)))</f>
        <v>3</v>
      </c>
      <c r="T50" s="9">
        <f>IF(Data!T50&lt;=QUARTILE(Data!T$4:T$153,1),1,IF(Data!T50&lt;=MEDIAN(Data!T$4:T$153),2,IF(Data!T50&lt;=QUARTILE(Data!T$4:T$153,3),3,4)))</f>
        <v>1</v>
      </c>
      <c r="U50" s="7">
        <f>IF(Data!U50&lt;=QUARTILE(Data!U$4:U$153,1),1,IF(Data!U50&lt;=MEDIAN(Data!U$4:U$153),2,IF(Data!U50&lt;=QUARTILE(Data!U$4:U$153,3),3,4)))</f>
        <v>3</v>
      </c>
      <c r="V50" s="8">
        <f>IF(Data!V50&lt;=QUARTILE(Data!V$4:V$153,1),1,IF(Data!V50&lt;=MEDIAN(Data!V$4:V$153),2,IF(Data!V50&lt;=QUARTILE(Data!V$4:V$153,3),3,4)))</f>
        <v>2</v>
      </c>
      <c r="W50" s="8">
        <f>IF(Data!W50&lt;=QUARTILE(Data!W$4:W$153,1),1,IF(Data!W50&lt;=MEDIAN(Data!W$4:W$153),2,IF(Data!W50&lt;=QUARTILE(Data!W$4:W$153,3),3,4)))</f>
        <v>3</v>
      </c>
      <c r="X50" s="8">
        <f>IF(Data!X50&lt;=QUARTILE(Data!X$4:X$153,1),1,IF(Data!X50&lt;=MEDIAN(Data!X$4:X$153),2,IF(Data!X50&lt;=QUARTILE(Data!X$4:X$153,3),3,4)))</f>
        <v>4</v>
      </c>
      <c r="Y50" s="8">
        <f>IF(Data!Y50&lt;=QUARTILE(Data!Y$4:Y$153,1),1,IF(Data!Y50&lt;=MEDIAN(Data!Y$4:Y$153),2,IF(Data!Y50&lt;=QUARTILE(Data!Y$4:Y$153,3),3,4)))</f>
        <v>4</v>
      </c>
      <c r="Z50" s="8">
        <f>IF(Data!Z50&lt;=QUARTILE(Data!Z$4:Z$153,1),1,IF(Data!Z50&lt;=MEDIAN(Data!Z$4:Z$153),2,IF(Data!Z50&lt;=QUARTILE(Data!Z$4:Z$153,3),3,4)))</f>
        <v>4</v>
      </c>
      <c r="AA50" s="8">
        <f>IF(Data!AA50&lt;=QUARTILE(Data!AA$4:AA$153,1),1,IF(Data!AA50&lt;=MEDIAN(Data!AA$4:AA$153),2,IF(Data!AA50&lt;=QUARTILE(Data!AA$4:AA$153,3),3,4)))</f>
        <v>1</v>
      </c>
      <c r="AB50" s="8">
        <f>IF(Data!AB50&lt;=QUARTILE(Data!AB$4:AB$153,1),1,IF(Data!AB50&lt;=MEDIAN(Data!AB$4:AB$153),2,IF(Data!AB50&lt;=QUARTILE(Data!AB$4:AB$153,3),3,4)))</f>
        <v>4</v>
      </c>
      <c r="AC50" s="8">
        <f>IF(Data!AC50&lt;=QUARTILE(Data!AC$4:AC$153,1),1,IF(Data!AC50&lt;=MEDIAN(Data!AC$4:AC$153),2,IF(Data!AC50&lt;=QUARTILE(Data!AC$4:AC$153,3),3,4)))</f>
        <v>4</v>
      </c>
      <c r="AD50" s="8">
        <f>IF(Data!AD50&lt;=QUARTILE(Data!AD$4:AD$153,1),1,IF(Data!AD50&lt;=MEDIAN(Data!AD$4:AD$153),2,IF(Data!AD50&lt;=QUARTILE(Data!AD$4:AD$153,3),3,4)))</f>
        <v>3</v>
      </c>
      <c r="AE50" s="8">
        <f>IF(Data!AE50&lt;=QUARTILE(Data!AE$4:AE$153,1),1,IF(Data!AE50&lt;=MEDIAN(Data!AE$4:AE$153),2,IF(Data!AE50&lt;=QUARTILE(Data!AE$4:AE$153,3),3,4)))</f>
        <v>4</v>
      </c>
      <c r="AF50" s="8">
        <f>IF(Data!AF50&lt;=QUARTILE(Data!AF$4:AF$153,1),1,IF(Data!AF50&lt;=MEDIAN(Data!AF$4:AF$153),2,IF(Data!AF50&lt;=QUARTILE(Data!AF$4:AF$153,3),3,4)))</f>
        <v>1</v>
      </c>
      <c r="AG50" s="8">
        <f>IF(Data!AG50&lt;=QUARTILE(Data!AG$4:AG$153,1),1,IF(Data!AG50&lt;=MEDIAN(Data!AG$4:AG$153),2,IF(Data!AG50&lt;=QUARTILE(Data!AG$4:AG$153,3),3,4)))</f>
        <v>1</v>
      </c>
      <c r="AH50" s="9">
        <f>IF(Data!AH50&lt;=QUARTILE(Data!AH$4:AH$153,1),1,IF(Data!AH50&lt;=MEDIAN(Data!AH$4:AH$153),2,IF(Data!AH50&lt;=QUARTILE(Data!AH$4:AH$153,3),3,4)))</f>
        <v>4</v>
      </c>
    </row>
    <row r="51" spans="1:34" x14ac:dyDescent="0.25">
      <c r="A51" s="7" t="s">
        <v>23</v>
      </c>
      <c r="B51" s="14" t="s">
        <v>57</v>
      </c>
      <c r="C51" s="7">
        <v>34</v>
      </c>
      <c r="D51" s="8">
        <v>48</v>
      </c>
      <c r="E51" s="42" t="s">
        <v>59</v>
      </c>
      <c r="F51" s="9">
        <v>-5.15</v>
      </c>
      <c r="G51" s="7">
        <f>IF(Data!G51&lt;=QUARTILE(Data!G$4:G$153,1),1,IF(Data!G51&lt;=MEDIAN(Data!G$4:G$153),2,IF(Data!G51&lt;=QUARTILE(Data!G$4:G$153,3),3,4)))</f>
        <v>1</v>
      </c>
      <c r="H51" s="8">
        <f>IF(Data!H51&lt;=QUARTILE(Data!H$4:H$153,1),1,IF(Data!H51&lt;=MEDIAN(Data!H$4:H$153),2,IF(Data!H51&lt;=QUARTILE(Data!H$4:H$153,3),3,4)))</f>
        <v>2</v>
      </c>
      <c r="I51" s="8">
        <f>IF(Data!I51&lt;=QUARTILE(Data!I$4:I$153,1),1,IF(Data!I51&lt;=MEDIAN(Data!I$4:I$153),2,IF(Data!I51&lt;=QUARTILE(Data!I$4:I$153,3),3,4)))</f>
        <v>2</v>
      </c>
      <c r="J51" s="8">
        <f>IF(Data!J51&lt;=QUARTILE(Data!J$4:J$153,1),1,IF(Data!J51&lt;=MEDIAN(Data!J$4:J$153),2,IF(Data!J51&lt;=QUARTILE(Data!J$4:J$153,3),3,4)))</f>
        <v>3</v>
      </c>
      <c r="K51" s="8">
        <f>IF(Data!K51&lt;=QUARTILE(Data!K$4:K$153,1),1,IF(Data!K51&lt;=MEDIAN(Data!K$4:K$153),2,IF(Data!K51&lt;=QUARTILE(Data!K$4:K$153,3),3,4)))</f>
        <v>3</v>
      </c>
      <c r="L51" s="8">
        <f>IF(Data!L51&lt;=QUARTILE(Data!L$4:L$153,1),1,IF(Data!L51&lt;=MEDIAN(Data!L$4:L$153),2,IF(Data!L51&lt;=QUARTILE(Data!L$4:L$153,3),3,4)))</f>
        <v>4</v>
      </c>
      <c r="M51" s="8">
        <f>IF(Data!M51&lt;=QUARTILE(Data!M$4:M$153,1),1,IF(Data!M51&lt;=MEDIAN(Data!M$4:M$153),2,IF(Data!M51&lt;=QUARTILE(Data!M$4:M$153,3),3,4)))</f>
        <v>2</v>
      </c>
      <c r="N51" s="8">
        <f>IF(Data!N51&lt;=QUARTILE(Data!N$4:N$153,1),1,IF(Data!N51&lt;=MEDIAN(Data!N$4:N$153),2,IF(Data!N51&lt;=QUARTILE(Data!N$4:N$153,3),3,4)))</f>
        <v>3</v>
      </c>
      <c r="O51" s="8">
        <f>IF(Data!O51&lt;=QUARTILE(Data!O$4:O$153,1),1,IF(Data!O51&lt;=MEDIAN(Data!O$4:O$153),2,IF(Data!O51&lt;=QUARTILE(Data!O$4:O$153,3),3,4)))</f>
        <v>4</v>
      </c>
      <c r="P51" s="8">
        <f>IF(Data!P51&lt;=QUARTILE(Data!P$4:P$153,1),1,IF(Data!P51&lt;=MEDIAN(Data!P$4:P$153),2,IF(Data!P51&lt;=QUARTILE(Data!P$4:P$153,3),3,4)))</f>
        <v>1</v>
      </c>
      <c r="Q51" s="8">
        <f>IF(Data!Q51&lt;=QUARTILE(Data!Q$4:Q$153,1),1,IF(Data!Q51&lt;=MEDIAN(Data!Q$4:Q$153),2,IF(Data!Q51&lt;=QUARTILE(Data!Q$4:Q$153,3),3,4)))</f>
        <v>2</v>
      </c>
      <c r="R51" s="8">
        <f>IF(Data!R51&lt;=QUARTILE(Data!R$4:R$153,1),1,IF(Data!R51&lt;=MEDIAN(Data!R$4:R$153),2,IF(Data!R51&lt;=QUARTILE(Data!R$4:R$153,3),3,4)))</f>
        <v>3</v>
      </c>
      <c r="S51" s="8">
        <f>IF(Data!S51&lt;=QUARTILE(Data!S$4:S$153,1),1,IF(Data!S51&lt;=MEDIAN(Data!S$4:S$153),2,IF(Data!S51&lt;=QUARTILE(Data!S$4:S$153,3),3,4)))</f>
        <v>3</v>
      </c>
      <c r="T51" s="9">
        <f>IF(Data!T51&lt;=QUARTILE(Data!T$4:T$153,1),1,IF(Data!T51&lt;=MEDIAN(Data!T$4:T$153),2,IF(Data!T51&lt;=QUARTILE(Data!T$4:T$153,3),3,4)))</f>
        <v>2</v>
      </c>
      <c r="U51" s="7">
        <f>IF(Data!U51&lt;=QUARTILE(Data!U$4:U$153,1),1,IF(Data!U51&lt;=MEDIAN(Data!U$4:U$153),2,IF(Data!U51&lt;=QUARTILE(Data!U$4:U$153,3),3,4)))</f>
        <v>2</v>
      </c>
      <c r="V51" s="8">
        <f>IF(Data!V51&lt;=QUARTILE(Data!V$4:V$153,1),1,IF(Data!V51&lt;=MEDIAN(Data!V$4:V$153),2,IF(Data!V51&lt;=QUARTILE(Data!V$4:V$153,3),3,4)))</f>
        <v>2</v>
      </c>
      <c r="W51" s="8">
        <f>IF(Data!W51&lt;=QUARTILE(Data!W$4:W$153,1),1,IF(Data!W51&lt;=MEDIAN(Data!W$4:W$153),2,IF(Data!W51&lt;=QUARTILE(Data!W$4:W$153,3),3,4)))</f>
        <v>3</v>
      </c>
      <c r="X51" s="8">
        <f>IF(Data!X51&lt;=QUARTILE(Data!X$4:X$153,1),1,IF(Data!X51&lt;=MEDIAN(Data!X$4:X$153),2,IF(Data!X51&lt;=QUARTILE(Data!X$4:X$153,3),3,4)))</f>
        <v>3</v>
      </c>
      <c r="Y51" s="8">
        <f>IF(Data!Y51&lt;=QUARTILE(Data!Y$4:Y$153,1),1,IF(Data!Y51&lt;=MEDIAN(Data!Y$4:Y$153),2,IF(Data!Y51&lt;=QUARTILE(Data!Y$4:Y$153,3),3,4)))</f>
        <v>4</v>
      </c>
      <c r="Z51" s="8">
        <f>IF(Data!Z51&lt;=QUARTILE(Data!Z$4:Z$153,1),1,IF(Data!Z51&lt;=MEDIAN(Data!Z$4:Z$153),2,IF(Data!Z51&lt;=QUARTILE(Data!Z$4:Z$153,3),3,4)))</f>
        <v>4</v>
      </c>
      <c r="AA51" s="8">
        <f>IF(Data!AA51&lt;=QUARTILE(Data!AA$4:AA$153,1),1,IF(Data!AA51&lt;=MEDIAN(Data!AA$4:AA$153),2,IF(Data!AA51&lt;=QUARTILE(Data!AA$4:AA$153,3),3,4)))</f>
        <v>2</v>
      </c>
      <c r="AB51" s="8">
        <f>IF(Data!AB51&lt;=QUARTILE(Data!AB$4:AB$153,1),1,IF(Data!AB51&lt;=MEDIAN(Data!AB$4:AB$153),2,IF(Data!AB51&lt;=QUARTILE(Data!AB$4:AB$153,3),3,4)))</f>
        <v>3</v>
      </c>
      <c r="AC51" s="8">
        <f>IF(Data!AC51&lt;=QUARTILE(Data!AC$4:AC$153,1),1,IF(Data!AC51&lt;=MEDIAN(Data!AC$4:AC$153),2,IF(Data!AC51&lt;=QUARTILE(Data!AC$4:AC$153,3),3,4)))</f>
        <v>3</v>
      </c>
      <c r="AD51" s="8">
        <f>IF(Data!AD51&lt;=QUARTILE(Data!AD$4:AD$153,1),1,IF(Data!AD51&lt;=MEDIAN(Data!AD$4:AD$153),2,IF(Data!AD51&lt;=QUARTILE(Data!AD$4:AD$153,3),3,4)))</f>
        <v>4</v>
      </c>
      <c r="AE51" s="8">
        <f>IF(Data!AE51&lt;=QUARTILE(Data!AE$4:AE$153,1),1,IF(Data!AE51&lt;=MEDIAN(Data!AE$4:AE$153),2,IF(Data!AE51&lt;=QUARTILE(Data!AE$4:AE$153,3),3,4)))</f>
        <v>2</v>
      </c>
      <c r="AF51" s="8">
        <f>IF(Data!AF51&lt;=QUARTILE(Data!AF$4:AF$153,1),1,IF(Data!AF51&lt;=MEDIAN(Data!AF$4:AF$153),2,IF(Data!AF51&lt;=QUARTILE(Data!AF$4:AF$153,3),3,4)))</f>
        <v>1</v>
      </c>
      <c r="AG51" s="8">
        <f>IF(Data!AG51&lt;=QUARTILE(Data!AG$4:AG$153,1),1,IF(Data!AG51&lt;=MEDIAN(Data!AG$4:AG$153),2,IF(Data!AG51&lt;=QUARTILE(Data!AG$4:AG$153,3),3,4)))</f>
        <v>3</v>
      </c>
      <c r="AH51" s="9">
        <f>IF(Data!AH51&lt;=QUARTILE(Data!AH$4:AH$153,1),1,IF(Data!AH51&lt;=MEDIAN(Data!AH$4:AH$153),2,IF(Data!AH51&lt;=QUARTILE(Data!AH$4:AH$153,3),3,4)))</f>
        <v>3</v>
      </c>
    </row>
    <row r="52" spans="1:34" x14ac:dyDescent="0.25">
      <c r="A52" s="7" t="s">
        <v>71</v>
      </c>
      <c r="B52" s="14" t="s">
        <v>57</v>
      </c>
      <c r="C52" s="7">
        <v>56</v>
      </c>
      <c r="D52" s="8">
        <v>26</v>
      </c>
      <c r="E52" s="42" t="s">
        <v>58</v>
      </c>
      <c r="F52" s="9">
        <v>5.46</v>
      </c>
      <c r="G52" s="7">
        <f>IF(Data!G52&lt;=QUARTILE(Data!G$4:G$153,1),1,IF(Data!G52&lt;=MEDIAN(Data!G$4:G$153),2,IF(Data!G52&lt;=QUARTILE(Data!G$4:G$153,3),3,4)))</f>
        <v>4</v>
      </c>
      <c r="H52" s="8">
        <f>IF(Data!H52&lt;=QUARTILE(Data!H$4:H$153,1),1,IF(Data!H52&lt;=MEDIAN(Data!H$4:H$153),2,IF(Data!H52&lt;=QUARTILE(Data!H$4:H$153,3),3,4)))</f>
        <v>4</v>
      </c>
      <c r="I52" s="8">
        <f>IF(Data!I52&lt;=QUARTILE(Data!I$4:I$153,1),1,IF(Data!I52&lt;=MEDIAN(Data!I$4:I$153),2,IF(Data!I52&lt;=QUARTILE(Data!I$4:I$153,3),3,4)))</f>
        <v>4</v>
      </c>
      <c r="J52" s="8">
        <f>IF(Data!J52&lt;=QUARTILE(Data!J$4:J$153,1),1,IF(Data!J52&lt;=MEDIAN(Data!J$4:J$153),2,IF(Data!J52&lt;=QUARTILE(Data!J$4:J$153,3),3,4)))</f>
        <v>4</v>
      </c>
      <c r="K52" s="8">
        <f>IF(Data!K52&lt;=QUARTILE(Data!K$4:K$153,1),1,IF(Data!K52&lt;=MEDIAN(Data!K$4:K$153),2,IF(Data!K52&lt;=QUARTILE(Data!K$4:K$153,3),3,4)))</f>
        <v>1</v>
      </c>
      <c r="L52" s="8">
        <f>IF(Data!L52&lt;=QUARTILE(Data!L$4:L$153,1),1,IF(Data!L52&lt;=MEDIAN(Data!L$4:L$153),2,IF(Data!L52&lt;=QUARTILE(Data!L$4:L$153,3),3,4)))</f>
        <v>1</v>
      </c>
      <c r="M52" s="8">
        <f>IF(Data!M52&lt;=QUARTILE(Data!M$4:M$153,1),1,IF(Data!M52&lt;=MEDIAN(Data!M$4:M$153),2,IF(Data!M52&lt;=QUARTILE(Data!M$4:M$153,3),3,4)))</f>
        <v>3</v>
      </c>
      <c r="N52" s="8">
        <f>IF(Data!N52&lt;=QUARTILE(Data!N$4:N$153,1),1,IF(Data!N52&lt;=MEDIAN(Data!N$4:N$153),2,IF(Data!N52&lt;=QUARTILE(Data!N$4:N$153,3),3,4)))</f>
        <v>3</v>
      </c>
      <c r="O52" s="8">
        <f>IF(Data!O52&lt;=QUARTILE(Data!O$4:O$153,1),1,IF(Data!O52&lt;=MEDIAN(Data!O$4:O$153),2,IF(Data!O52&lt;=QUARTILE(Data!O$4:O$153,3),3,4)))</f>
        <v>3</v>
      </c>
      <c r="P52" s="8">
        <f>IF(Data!P52&lt;=QUARTILE(Data!P$4:P$153,1),1,IF(Data!P52&lt;=MEDIAN(Data!P$4:P$153),2,IF(Data!P52&lt;=QUARTILE(Data!P$4:P$153,3),3,4)))</f>
        <v>4</v>
      </c>
      <c r="Q52" s="8">
        <f>IF(Data!Q52&lt;=QUARTILE(Data!Q$4:Q$153,1),1,IF(Data!Q52&lt;=MEDIAN(Data!Q$4:Q$153),2,IF(Data!Q52&lt;=QUARTILE(Data!Q$4:Q$153,3),3,4)))</f>
        <v>1</v>
      </c>
      <c r="R52" s="8">
        <f>IF(Data!R52&lt;=QUARTILE(Data!R$4:R$153,1),1,IF(Data!R52&lt;=MEDIAN(Data!R$4:R$153),2,IF(Data!R52&lt;=QUARTILE(Data!R$4:R$153,3),3,4)))</f>
        <v>1</v>
      </c>
      <c r="S52" s="8">
        <f>IF(Data!S52&lt;=QUARTILE(Data!S$4:S$153,1),1,IF(Data!S52&lt;=MEDIAN(Data!S$4:S$153),2,IF(Data!S52&lt;=QUARTILE(Data!S$4:S$153,3),3,4)))</f>
        <v>1</v>
      </c>
      <c r="T52" s="9">
        <f>IF(Data!T52&lt;=QUARTILE(Data!T$4:T$153,1),1,IF(Data!T52&lt;=MEDIAN(Data!T$4:T$153),2,IF(Data!T52&lt;=QUARTILE(Data!T$4:T$153,3),3,4)))</f>
        <v>4</v>
      </c>
      <c r="U52" s="7">
        <f>IF(Data!U52&lt;=QUARTILE(Data!U$4:U$153,1),1,IF(Data!U52&lt;=MEDIAN(Data!U$4:U$153),2,IF(Data!U52&lt;=QUARTILE(Data!U$4:U$153,3),3,4)))</f>
        <v>3</v>
      </c>
      <c r="V52" s="8">
        <f>IF(Data!V52&lt;=QUARTILE(Data!V$4:V$153,1),1,IF(Data!V52&lt;=MEDIAN(Data!V$4:V$153),2,IF(Data!V52&lt;=QUARTILE(Data!V$4:V$153,3),3,4)))</f>
        <v>3</v>
      </c>
      <c r="W52" s="8">
        <f>IF(Data!W52&lt;=QUARTILE(Data!W$4:W$153,1),1,IF(Data!W52&lt;=MEDIAN(Data!W$4:W$153),2,IF(Data!W52&lt;=QUARTILE(Data!W$4:W$153,3),3,4)))</f>
        <v>3</v>
      </c>
      <c r="X52" s="8">
        <f>IF(Data!X52&lt;=QUARTILE(Data!X$4:X$153,1),1,IF(Data!X52&lt;=MEDIAN(Data!X$4:X$153),2,IF(Data!X52&lt;=QUARTILE(Data!X$4:X$153,3),3,4)))</f>
        <v>4</v>
      </c>
      <c r="Y52" s="8">
        <f>IF(Data!Y52&lt;=QUARTILE(Data!Y$4:Y$153,1),1,IF(Data!Y52&lt;=MEDIAN(Data!Y$4:Y$153),2,IF(Data!Y52&lt;=QUARTILE(Data!Y$4:Y$153,3),3,4)))</f>
        <v>1</v>
      </c>
      <c r="Z52" s="8">
        <f>IF(Data!Z52&lt;=QUARTILE(Data!Z$4:Z$153,1),1,IF(Data!Z52&lt;=MEDIAN(Data!Z$4:Z$153),2,IF(Data!Z52&lt;=QUARTILE(Data!Z$4:Z$153,3),3,4)))</f>
        <v>1</v>
      </c>
      <c r="AA52" s="8">
        <f>IF(Data!AA52&lt;=QUARTILE(Data!AA$4:AA$153,1),1,IF(Data!AA52&lt;=MEDIAN(Data!AA$4:AA$153),2,IF(Data!AA52&lt;=QUARTILE(Data!AA$4:AA$153,3),3,4)))</f>
        <v>1</v>
      </c>
      <c r="AB52" s="8">
        <f>IF(Data!AB52&lt;=QUARTILE(Data!AB$4:AB$153,1),1,IF(Data!AB52&lt;=MEDIAN(Data!AB$4:AB$153),2,IF(Data!AB52&lt;=QUARTILE(Data!AB$4:AB$153,3),3,4)))</f>
        <v>3</v>
      </c>
      <c r="AC52" s="8">
        <f>IF(Data!AC52&lt;=QUARTILE(Data!AC$4:AC$153,1),1,IF(Data!AC52&lt;=MEDIAN(Data!AC$4:AC$153),2,IF(Data!AC52&lt;=QUARTILE(Data!AC$4:AC$153,3),3,4)))</f>
        <v>3</v>
      </c>
      <c r="AD52" s="8">
        <f>IF(Data!AD52&lt;=QUARTILE(Data!AD$4:AD$153,1),1,IF(Data!AD52&lt;=MEDIAN(Data!AD$4:AD$153),2,IF(Data!AD52&lt;=QUARTILE(Data!AD$4:AD$153,3),3,4)))</f>
        <v>1</v>
      </c>
      <c r="AE52" s="8">
        <f>IF(Data!AE52&lt;=QUARTILE(Data!AE$4:AE$153,1),1,IF(Data!AE52&lt;=MEDIAN(Data!AE$4:AE$153),2,IF(Data!AE52&lt;=QUARTILE(Data!AE$4:AE$153,3),3,4)))</f>
        <v>1</v>
      </c>
      <c r="AF52" s="8">
        <f>IF(Data!AF52&lt;=QUARTILE(Data!AF$4:AF$153,1),1,IF(Data!AF52&lt;=MEDIAN(Data!AF$4:AF$153),2,IF(Data!AF52&lt;=QUARTILE(Data!AF$4:AF$153,3),3,4)))</f>
        <v>2</v>
      </c>
      <c r="AG52" s="8">
        <f>IF(Data!AG52&lt;=QUARTILE(Data!AG$4:AG$153,1),1,IF(Data!AG52&lt;=MEDIAN(Data!AG$4:AG$153),2,IF(Data!AG52&lt;=QUARTILE(Data!AG$4:AG$153,3),3,4)))</f>
        <v>1</v>
      </c>
      <c r="AH52" s="9">
        <f>IF(Data!AH52&lt;=QUARTILE(Data!AH$4:AH$153,1),1,IF(Data!AH52&lt;=MEDIAN(Data!AH$4:AH$153),2,IF(Data!AH52&lt;=QUARTILE(Data!AH$4:AH$153,3),3,4)))</f>
        <v>2</v>
      </c>
    </row>
    <row r="53" spans="1:34" x14ac:dyDescent="0.25">
      <c r="A53" s="7" t="s">
        <v>18</v>
      </c>
      <c r="B53" s="14" t="s">
        <v>57</v>
      </c>
      <c r="C53" s="7">
        <v>23</v>
      </c>
      <c r="D53" s="8">
        <v>59</v>
      </c>
      <c r="E53" s="42" t="s">
        <v>59</v>
      </c>
      <c r="F53" s="9">
        <v>-6.54</v>
      </c>
      <c r="G53" s="7">
        <f>IF(Data!G53&lt;=QUARTILE(Data!G$4:G$153,1),1,IF(Data!G53&lt;=MEDIAN(Data!G$4:G$153),2,IF(Data!G53&lt;=QUARTILE(Data!G$4:G$153,3),3,4)))</f>
        <v>2</v>
      </c>
      <c r="H53" s="8">
        <f>IF(Data!H53&lt;=QUARTILE(Data!H$4:H$153,1),1,IF(Data!H53&lt;=MEDIAN(Data!H$4:H$153),2,IF(Data!H53&lt;=QUARTILE(Data!H$4:H$153,3),3,4)))</f>
        <v>4</v>
      </c>
      <c r="I53" s="8">
        <f>IF(Data!I53&lt;=QUARTILE(Data!I$4:I$153,1),1,IF(Data!I53&lt;=MEDIAN(Data!I$4:I$153),2,IF(Data!I53&lt;=QUARTILE(Data!I$4:I$153,3),3,4)))</f>
        <v>2</v>
      </c>
      <c r="J53" s="8">
        <f>IF(Data!J53&lt;=QUARTILE(Data!J$4:J$153,1),1,IF(Data!J53&lt;=MEDIAN(Data!J$4:J$153),2,IF(Data!J53&lt;=QUARTILE(Data!J$4:J$153,3),3,4)))</f>
        <v>3</v>
      </c>
      <c r="K53" s="8">
        <f>IF(Data!K53&lt;=QUARTILE(Data!K$4:K$153,1),1,IF(Data!K53&lt;=MEDIAN(Data!K$4:K$153),2,IF(Data!K53&lt;=QUARTILE(Data!K$4:K$153,3),3,4)))</f>
        <v>2</v>
      </c>
      <c r="L53" s="8">
        <f>IF(Data!L53&lt;=QUARTILE(Data!L$4:L$153,1),1,IF(Data!L53&lt;=MEDIAN(Data!L$4:L$153),2,IF(Data!L53&lt;=QUARTILE(Data!L$4:L$153,3),3,4)))</f>
        <v>2</v>
      </c>
      <c r="M53" s="8">
        <f>IF(Data!M53&lt;=QUARTILE(Data!M$4:M$153,1),1,IF(Data!M53&lt;=MEDIAN(Data!M$4:M$153),2,IF(Data!M53&lt;=QUARTILE(Data!M$4:M$153,3),3,4)))</f>
        <v>4</v>
      </c>
      <c r="N53" s="8">
        <f>IF(Data!N53&lt;=QUARTILE(Data!N$4:N$153,1),1,IF(Data!N53&lt;=MEDIAN(Data!N$4:N$153),2,IF(Data!N53&lt;=QUARTILE(Data!N$4:N$153,3),3,4)))</f>
        <v>3</v>
      </c>
      <c r="O53" s="8">
        <f>IF(Data!O53&lt;=QUARTILE(Data!O$4:O$153,1),1,IF(Data!O53&lt;=MEDIAN(Data!O$4:O$153),2,IF(Data!O53&lt;=QUARTILE(Data!O$4:O$153,3),3,4)))</f>
        <v>1</v>
      </c>
      <c r="P53" s="8">
        <f>IF(Data!P53&lt;=QUARTILE(Data!P$4:P$153,1),1,IF(Data!P53&lt;=MEDIAN(Data!P$4:P$153),2,IF(Data!P53&lt;=QUARTILE(Data!P$4:P$153,3),3,4)))</f>
        <v>1</v>
      </c>
      <c r="Q53" s="8">
        <f>IF(Data!Q53&lt;=QUARTILE(Data!Q$4:Q$153,1),1,IF(Data!Q53&lt;=MEDIAN(Data!Q$4:Q$153),2,IF(Data!Q53&lt;=QUARTILE(Data!Q$4:Q$153,3),3,4)))</f>
        <v>1</v>
      </c>
      <c r="R53" s="8">
        <f>IF(Data!R53&lt;=QUARTILE(Data!R$4:R$153,1),1,IF(Data!R53&lt;=MEDIAN(Data!R$4:R$153),2,IF(Data!R53&lt;=QUARTILE(Data!R$4:R$153,3),3,4)))</f>
        <v>2</v>
      </c>
      <c r="S53" s="8">
        <f>IF(Data!S53&lt;=QUARTILE(Data!S$4:S$153,1),1,IF(Data!S53&lt;=MEDIAN(Data!S$4:S$153),2,IF(Data!S53&lt;=QUARTILE(Data!S$4:S$153,3),3,4)))</f>
        <v>2</v>
      </c>
      <c r="T53" s="9">
        <f>IF(Data!T53&lt;=QUARTILE(Data!T$4:T$153,1),1,IF(Data!T53&lt;=MEDIAN(Data!T$4:T$153),2,IF(Data!T53&lt;=QUARTILE(Data!T$4:T$153,3),3,4)))</f>
        <v>2</v>
      </c>
      <c r="U53" s="7">
        <f>IF(Data!U53&lt;=QUARTILE(Data!U$4:U$153,1),1,IF(Data!U53&lt;=MEDIAN(Data!U$4:U$153),2,IF(Data!U53&lt;=QUARTILE(Data!U$4:U$153,3),3,4)))</f>
        <v>4</v>
      </c>
      <c r="V53" s="8">
        <f>IF(Data!V53&lt;=QUARTILE(Data!V$4:V$153,1),1,IF(Data!V53&lt;=MEDIAN(Data!V$4:V$153),2,IF(Data!V53&lt;=QUARTILE(Data!V$4:V$153,3),3,4)))</f>
        <v>3</v>
      </c>
      <c r="W53" s="8">
        <f>IF(Data!W53&lt;=QUARTILE(Data!W$4:W$153,1),1,IF(Data!W53&lt;=MEDIAN(Data!W$4:W$153),2,IF(Data!W53&lt;=QUARTILE(Data!W$4:W$153,3),3,4)))</f>
        <v>4</v>
      </c>
      <c r="X53" s="8">
        <f>IF(Data!X53&lt;=QUARTILE(Data!X$4:X$153,1),1,IF(Data!X53&lt;=MEDIAN(Data!X$4:X$153),2,IF(Data!X53&lt;=QUARTILE(Data!X$4:X$153,3),3,4)))</f>
        <v>4</v>
      </c>
      <c r="Y53" s="8">
        <f>IF(Data!Y53&lt;=QUARTILE(Data!Y$4:Y$153,1),1,IF(Data!Y53&lt;=MEDIAN(Data!Y$4:Y$153),2,IF(Data!Y53&lt;=QUARTILE(Data!Y$4:Y$153,3),3,4)))</f>
        <v>2</v>
      </c>
      <c r="Z53" s="8">
        <f>IF(Data!Z53&lt;=QUARTILE(Data!Z$4:Z$153,1),1,IF(Data!Z53&lt;=MEDIAN(Data!Z$4:Z$153),2,IF(Data!Z53&lt;=QUARTILE(Data!Z$4:Z$153,3),3,4)))</f>
        <v>2</v>
      </c>
      <c r="AA53" s="8">
        <f>IF(Data!AA53&lt;=QUARTILE(Data!AA$4:AA$153,1),1,IF(Data!AA53&lt;=MEDIAN(Data!AA$4:AA$153),2,IF(Data!AA53&lt;=QUARTILE(Data!AA$4:AA$153,3),3,4)))</f>
        <v>3</v>
      </c>
      <c r="AB53" s="8">
        <f>IF(Data!AB53&lt;=QUARTILE(Data!AB$4:AB$153,1),1,IF(Data!AB53&lt;=MEDIAN(Data!AB$4:AB$153),2,IF(Data!AB53&lt;=QUARTILE(Data!AB$4:AB$153,3),3,4)))</f>
        <v>4</v>
      </c>
      <c r="AC53" s="8">
        <f>IF(Data!AC53&lt;=QUARTILE(Data!AC$4:AC$153,1),1,IF(Data!AC53&lt;=MEDIAN(Data!AC$4:AC$153),2,IF(Data!AC53&lt;=QUARTILE(Data!AC$4:AC$153,3),3,4)))</f>
        <v>3</v>
      </c>
      <c r="AD53" s="8">
        <f>IF(Data!AD53&lt;=QUARTILE(Data!AD$4:AD$153,1),1,IF(Data!AD53&lt;=MEDIAN(Data!AD$4:AD$153),2,IF(Data!AD53&lt;=QUARTILE(Data!AD$4:AD$153,3),3,4)))</f>
        <v>3</v>
      </c>
      <c r="AE53" s="8">
        <f>IF(Data!AE53&lt;=QUARTILE(Data!AE$4:AE$153,1),1,IF(Data!AE53&lt;=MEDIAN(Data!AE$4:AE$153),2,IF(Data!AE53&lt;=QUARTILE(Data!AE$4:AE$153,3),3,4)))</f>
        <v>4</v>
      </c>
      <c r="AF53" s="8">
        <f>IF(Data!AF53&lt;=QUARTILE(Data!AF$4:AF$153,1),1,IF(Data!AF53&lt;=MEDIAN(Data!AF$4:AF$153),2,IF(Data!AF53&lt;=QUARTILE(Data!AF$4:AF$153,3),3,4)))</f>
        <v>1</v>
      </c>
      <c r="AG53" s="8">
        <f>IF(Data!AG53&lt;=QUARTILE(Data!AG$4:AG$153,1),1,IF(Data!AG53&lt;=MEDIAN(Data!AG$4:AG$153),2,IF(Data!AG53&lt;=QUARTILE(Data!AG$4:AG$153,3),3,4)))</f>
        <v>1</v>
      </c>
      <c r="AH53" s="9">
        <f>IF(Data!AH53&lt;=QUARTILE(Data!AH$4:AH$153,1),1,IF(Data!AH53&lt;=MEDIAN(Data!AH$4:AH$153),2,IF(Data!AH53&lt;=QUARTILE(Data!AH$4:AH$153,3),3,4)))</f>
        <v>4</v>
      </c>
    </row>
    <row r="54" spans="1:34" x14ac:dyDescent="0.25">
      <c r="A54" s="7" t="s">
        <v>66</v>
      </c>
      <c r="B54" s="14" t="s">
        <v>57</v>
      </c>
      <c r="C54" s="7">
        <v>52</v>
      </c>
      <c r="D54" s="8">
        <v>30</v>
      </c>
      <c r="E54" s="42" t="s">
        <v>58</v>
      </c>
      <c r="F54" s="9">
        <v>4.79</v>
      </c>
      <c r="G54" s="7">
        <f>IF(Data!G54&lt;=QUARTILE(Data!G$4:G$153,1),1,IF(Data!G54&lt;=MEDIAN(Data!G$4:G$153),2,IF(Data!G54&lt;=QUARTILE(Data!G$4:G$153,3),3,4)))</f>
        <v>4</v>
      </c>
      <c r="H54" s="8">
        <f>IF(Data!H54&lt;=QUARTILE(Data!H$4:H$153,1),1,IF(Data!H54&lt;=MEDIAN(Data!H$4:H$153),2,IF(Data!H54&lt;=QUARTILE(Data!H$4:H$153,3),3,4)))</f>
        <v>2</v>
      </c>
      <c r="I54" s="8">
        <f>IF(Data!I54&lt;=QUARTILE(Data!I$4:I$153,1),1,IF(Data!I54&lt;=MEDIAN(Data!I$4:I$153),2,IF(Data!I54&lt;=QUARTILE(Data!I$4:I$153,3),3,4)))</f>
        <v>4</v>
      </c>
      <c r="J54" s="8">
        <f>IF(Data!J54&lt;=QUARTILE(Data!J$4:J$153,1),1,IF(Data!J54&lt;=MEDIAN(Data!J$4:J$153),2,IF(Data!J54&lt;=QUARTILE(Data!J$4:J$153,3),3,4)))</f>
        <v>4</v>
      </c>
      <c r="K54" s="8">
        <f>IF(Data!K54&lt;=QUARTILE(Data!K$4:K$153,1),1,IF(Data!K54&lt;=MEDIAN(Data!K$4:K$153),2,IF(Data!K54&lt;=QUARTILE(Data!K$4:K$153,3),3,4)))</f>
        <v>3</v>
      </c>
      <c r="L54" s="8">
        <f>IF(Data!L54&lt;=QUARTILE(Data!L$4:L$153,1),1,IF(Data!L54&lt;=MEDIAN(Data!L$4:L$153),2,IF(Data!L54&lt;=QUARTILE(Data!L$4:L$153,3),3,4)))</f>
        <v>4</v>
      </c>
      <c r="M54" s="8">
        <f>IF(Data!M54&lt;=QUARTILE(Data!M$4:M$153,1),1,IF(Data!M54&lt;=MEDIAN(Data!M$4:M$153),2,IF(Data!M54&lt;=QUARTILE(Data!M$4:M$153,3),3,4)))</f>
        <v>1</v>
      </c>
      <c r="N54" s="8">
        <f>IF(Data!N54&lt;=QUARTILE(Data!N$4:N$153,1),1,IF(Data!N54&lt;=MEDIAN(Data!N$4:N$153),2,IF(Data!N54&lt;=QUARTILE(Data!N$4:N$153,3),3,4)))</f>
        <v>4</v>
      </c>
      <c r="O54" s="8">
        <f>IF(Data!O54&lt;=QUARTILE(Data!O$4:O$153,1),1,IF(Data!O54&lt;=MEDIAN(Data!O$4:O$153),2,IF(Data!O54&lt;=QUARTILE(Data!O$4:O$153,3),3,4)))</f>
        <v>2</v>
      </c>
      <c r="P54" s="8">
        <f>IF(Data!P54&lt;=QUARTILE(Data!P$4:P$153,1),1,IF(Data!P54&lt;=MEDIAN(Data!P$4:P$153),2,IF(Data!P54&lt;=QUARTILE(Data!P$4:P$153,3),3,4)))</f>
        <v>1</v>
      </c>
      <c r="Q54" s="8">
        <f>IF(Data!Q54&lt;=QUARTILE(Data!Q$4:Q$153,1),1,IF(Data!Q54&lt;=MEDIAN(Data!Q$4:Q$153),2,IF(Data!Q54&lt;=QUARTILE(Data!Q$4:Q$153,3),3,4)))</f>
        <v>1</v>
      </c>
      <c r="R54" s="8">
        <f>IF(Data!R54&lt;=QUARTILE(Data!R$4:R$153,1),1,IF(Data!R54&lt;=MEDIAN(Data!R$4:R$153),2,IF(Data!R54&lt;=QUARTILE(Data!R$4:R$153,3),3,4)))</f>
        <v>2</v>
      </c>
      <c r="S54" s="8">
        <f>IF(Data!S54&lt;=QUARTILE(Data!S$4:S$153,1),1,IF(Data!S54&lt;=MEDIAN(Data!S$4:S$153),2,IF(Data!S54&lt;=QUARTILE(Data!S$4:S$153,3),3,4)))</f>
        <v>2</v>
      </c>
      <c r="T54" s="9">
        <f>IF(Data!T54&lt;=QUARTILE(Data!T$4:T$153,1),1,IF(Data!T54&lt;=MEDIAN(Data!T$4:T$153),2,IF(Data!T54&lt;=QUARTILE(Data!T$4:T$153,3),3,4)))</f>
        <v>4</v>
      </c>
      <c r="U54" s="7">
        <f>IF(Data!U54&lt;=QUARTILE(Data!U$4:U$153,1),1,IF(Data!U54&lt;=MEDIAN(Data!U$4:U$153),2,IF(Data!U54&lt;=QUARTILE(Data!U$4:U$153,3),3,4)))</f>
        <v>3</v>
      </c>
      <c r="V54" s="8">
        <f>IF(Data!V54&lt;=QUARTILE(Data!V$4:V$153,1),1,IF(Data!V54&lt;=MEDIAN(Data!V$4:V$153),2,IF(Data!V54&lt;=QUARTILE(Data!V$4:V$153,3),3,4)))</f>
        <v>4</v>
      </c>
      <c r="W54" s="8">
        <f>IF(Data!W54&lt;=QUARTILE(Data!W$4:W$153,1),1,IF(Data!W54&lt;=MEDIAN(Data!W$4:W$153),2,IF(Data!W54&lt;=QUARTILE(Data!W$4:W$153,3),3,4)))</f>
        <v>3</v>
      </c>
      <c r="X54" s="8">
        <f>IF(Data!X54&lt;=QUARTILE(Data!X$4:X$153,1),1,IF(Data!X54&lt;=MEDIAN(Data!X$4:X$153),2,IF(Data!X54&lt;=QUARTILE(Data!X$4:X$153,3),3,4)))</f>
        <v>3</v>
      </c>
      <c r="Y54" s="8">
        <f>IF(Data!Y54&lt;=QUARTILE(Data!Y$4:Y$153,1),1,IF(Data!Y54&lt;=MEDIAN(Data!Y$4:Y$153),2,IF(Data!Y54&lt;=QUARTILE(Data!Y$4:Y$153,3),3,4)))</f>
        <v>2</v>
      </c>
      <c r="Z54" s="8">
        <f>IF(Data!Z54&lt;=QUARTILE(Data!Z$4:Z$153,1),1,IF(Data!Z54&lt;=MEDIAN(Data!Z$4:Z$153),2,IF(Data!Z54&lt;=QUARTILE(Data!Z$4:Z$153,3),3,4)))</f>
        <v>2</v>
      </c>
      <c r="AA54" s="8">
        <f>IF(Data!AA54&lt;=QUARTILE(Data!AA$4:AA$153,1),1,IF(Data!AA54&lt;=MEDIAN(Data!AA$4:AA$153),2,IF(Data!AA54&lt;=QUARTILE(Data!AA$4:AA$153,3),3,4)))</f>
        <v>2</v>
      </c>
      <c r="AB54" s="8">
        <f>IF(Data!AB54&lt;=QUARTILE(Data!AB$4:AB$153,1),1,IF(Data!AB54&lt;=MEDIAN(Data!AB$4:AB$153),2,IF(Data!AB54&lt;=QUARTILE(Data!AB$4:AB$153,3),3,4)))</f>
        <v>3</v>
      </c>
      <c r="AC54" s="8">
        <f>IF(Data!AC54&lt;=QUARTILE(Data!AC$4:AC$153,1),1,IF(Data!AC54&lt;=MEDIAN(Data!AC$4:AC$153),2,IF(Data!AC54&lt;=QUARTILE(Data!AC$4:AC$153,3),3,4)))</f>
        <v>3</v>
      </c>
      <c r="AD54" s="8">
        <f>IF(Data!AD54&lt;=QUARTILE(Data!AD$4:AD$153,1),1,IF(Data!AD54&lt;=MEDIAN(Data!AD$4:AD$153),2,IF(Data!AD54&lt;=QUARTILE(Data!AD$4:AD$153,3),3,4)))</f>
        <v>2</v>
      </c>
      <c r="AE54" s="8">
        <f>IF(Data!AE54&lt;=QUARTILE(Data!AE$4:AE$153,1),1,IF(Data!AE54&lt;=MEDIAN(Data!AE$4:AE$153),2,IF(Data!AE54&lt;=QUARTILE(Data!AE$4:AE$153,3),3,4)))</f>
        <v>1</v>
      </c>
      <c r="AF54" s="8">
        <f>IF(Data!AF54&lt;=QUARTILE(Data!AF$4:AF$153,1),1,IF(Data!AF54&lt;=MEDIAN(Data!AF$4:AF$153),2,IF(Data!AF54&lt;=QUARTILE(Data!AF$4:AF$153,3),3,4)))</f>
        <v>1</v>
      </c>
      <c r="AG54" s="8">
        <f>IF(Data!AG54&lt;=QUARTILE(Data!AG$4:AG$153,1),1,IF(Data!AG54&lt;=MEDIAN(Data!AG$4:AG$153),2,IF(Data!AG54&lt;=QUARTILE(Data!AG$4:AG$153,3),3,4)))</f>
        <v>3</v>
      </c>
      <c r="AH54" s="9">
        <f>IF(Data!AH54&lt;=QUARTILE(Data!AH$4:AH$153,1),1,IF(Data!AH54&lt;=MEDIAN(Data!AH$4:AH$153),2,IF(Data!AH54&lt;=QUARTILE(Data!AH$4:AH$153,3),3,4)))</f>
        <v>3</v>
      </c>
    </row>
    <row r="55" spans="1:34" x14ac:dyDescent="0.25">
      <c r="A55" s="7" t="s">
        <v>63</v>
      </c>
      <c r="B55" s="14" t="s">
        <v>57</v>
      </c>
      <c r="C55" s="7">
        <v>40</v>
      </c>
      <c r="D55" s="8">
        <v>42</v>
      </c>
      <c r="E55" s="42" t="s">
        <v>58</v>
      </c>
      <c r="F55" s="9">
        <v>0.19</v>
      </c>
      <c r="G55" s="7">
        <f>IF(Data!G55&lt;=QUARTILE(Data!G$4:G$153,1),1,IF(Data!G55&lt;=MEDIAN(Data!G$4:G$153),2,IF(Data!G55&lt;=QUARTILE(Data!G$4:G$153,3),3,4)))</f>
        <v>4</v>
      </c>
      <c r="H55" s="8">
        <f>IF(Data!H55&lt;=QUARTILE(Data!H$4:H$153,1),1,IF(Data!H55&lt;=MEDIAN(Data!H$4:H$153),2,IF(Data!H55&lt;=QUARTILE(Data!H$4:H$153,3),3,4)))</f>
        <v>3</v>
      </c>
      <c r="I55" s="8">
        <f>IF(Data!I55&lt;=QUARTILE(Data!I$4:I$153,1),1,IF(Data!I55&lt;=MEDIAN(Data!I$4:I$153),2,IF(Data!I55&lt;=QUARTILE(Data!I$4:I$153,3),3,4)))</f>
        <v>1</v>
      </c>
      <c r="J55" s="8">
        <f>IF(Data!J55&lt;=QUARTILE(Data!J$4:J$153,1),1,IF(Data!J55&lt;=MEDIAN(Data!J$4:J$153),2,IF(Data!J55&lt;=QUARTILE(Data!J$4:J$153,3),3,4)))</f>
        <v>1</v>
      </c>
      <c r="K55" s="8">
        <f>IF(Data!K55&lt;=QUARTILE(Data!K$4:K$153,1),1,IF(Data!K55&lt;=MEDIAN(Data!K$4:K$153),2,IF(Data!K55&lt;=QUARTILE(Data!K$4:K$153,3),3,4)))</f>
        <v>2</v>
      </c>
      <c r="L55" s="8">
        <f>IF(Data!L55&lt;=QUARTILE(Data!L$4:L$153,1),1,IF(Data!L55&lt;=MEDIAN(Data!L$4:L$153),2,IF(Data!L55&lt;=QUARTILE(Data!L$4:L$153,3),3,4)))</f>
        <v>3</v>
      </c>
      <c r="M55" s="8">
        <f>IF(Data!M55&lt;=QUARTILE(Data!M$4:M$153,1),1,IF(Data!M55&lt;=MEDIAN(Data!M$4:M$153),2,IF(Data!M55&lt;=QUARTILE(Data!M$4:M$153,3),3,4)))</f>
        <v>4</v>
      </c>
      <c r="N55" s="8">
        <f>IF(Data!N55&lt;=QUARTILE(Data!N$4:N$153,1),1,IF(Data!N55&lt;=MEDIAN(Data!N$4:N$153),2,IF(Data!N55&lt;=QUARTILE(Data!N$4:N$153,3),3,4)))</f>
        <v>1</v>
      </c>
      <c r="O55" s="8">
        <f>IF(Data!O55&lt;=QUARTILE(Data!O$4:O$153,1),1,IF(Data!O55&lt;=MEDIAN(Data!O$4:O$153),2,IF(Data!O55&lt;=QUARTILE(Data!O$4:O$153,3),3,4)))</f>
        <v>2</v>
      </c>
      <c r="P55" s="8">
        <f>IF(Data!P55&lt;=QUARTILE(Data!P$4:P$153,1),1,IF(Data!P55&lt;=MEDIAN(Data!P$4:P$153),2,IF(Data!P55&lt;=QUARTILE(Data!P$4:P$153,3),3,4)))</f>
        <v>4</v>
      </c>
      <c r="Q55" s="8">
        <f>IF(Data!Q55&lt;=QUARTILE(Data!Q$4:Q$153,1),1,IF(Data!Q55&lt;=MEDIAN(Data!Q$4:Q$153),2,IF(Data!Q55&lt;=QUARTILE(Data!Q$4:Q$153,3),3,4)))</f>
        <v>3</v>
      </c>
      <c r="R55" s="8">
        <f>IF(Data!R55&lt;=QUARTILE(Data!R$4:R$153,1),1,IF(Data!R55&lt;=MEDIAN(Data!R$4:R$153),2,IF(Data!R55&lt;=QUARTILE(Data!R$4:R$153,3),3,4)))</f>
        <v>2</v>
      </c>
      <c r="S55" s="8">
        <f>IF(Data!S55&lt;=QUARTILE(Data!S$4:S$153,1),1,IF(Data!S55&lt;=MEDIAN(Data!S$4:S$153),2,IF(Data!S55&lt;=QUARTILE(Data!S$4:S$153,3),3,4)))</f>
        <v>1</v>
      </c>
      <c r="T55" s="9">
        <f>IF(Data!T55&lt;=QUARTILE(Data!T$4:T$153,1),1,IF(Data!T55&lt;=MEDIAN(Data!T$4:T$153),2,IF(Data!T55&lt;=QUARTILE(Data!T$4:T$153,3),3,4)))</f>
        <v>2</v>
      </c>
      <c r="U55" s="7">
        <f>IF(Data!U55&lt;=QUARTILE(Data!U$4:U$153,1),1,IF(Data!U55&lt;=MEDIAN(Data!U$4:U$153),2,IF(Data!U55&lt;=QUARTILE(Data!U$4:U$153,3),3,4)))</f>
        <v>3</v>
      </c>
      <c r="V55" s="8">
        <f>IF(Data!V55&lt;=QUARTILE(Data!V$4:V$153,1),1,IF(Data!V55&lt;=MEDIAN(Data!V$4:V$153),2,IF(Data!V55&lt;=QUARTILE(Data!V$4:V$153,3),3,4)))</f>
        <v>2</v>
      </c>
      <c r="W55" s="8">
        <f>IF(Data!W55&lt;=QUARTILE(Data!W$4:W$153,1),1,IF(Data!W55&lt;=MEDIAN(Data!W$4:W$153),2,IF(Data!W55&lt;=QUARTILE(Data!W$4:W$153,3),3,4)))</f>
        <v>4</v>
      </c>
      <c r="X55" s="8">
        <f>IF(Data!X55&lt;=QUARTILE(Data!X$4:X$153,1),1,IF(Data!X55&lt;=MEDIAN(Data!X$4:X$153),2,IF(Data!X55&lt;=QUARTILE(Data!X$4:X$153,3),3,4)))</f>
        <v>4</v>
      </c>
      <c r="Y55" s="8">
        <f>IF(Data!Y55&lt;=QUARTILE(Data!Y$4:Y$153,1),1,IF(Data!Y55&lt;=MEDIAN(Data!Y$4:Y$153),2,IF(Data!Y55&lt;=QUARTILE(Data!Y$4:Y$153,3),3,4)))</f>
        <v>1</v>
      </c>
      <c r="Z55" s="8">
        <f>IF(Data!Z55&lt;=QUARTILE(Data!Z$4:Z$153,1),1,IF(Data!Z55&lt;=MEDIAN(Data!Z$4:Z$153),2,IF(Data!Z55&lt;=QUARTILE(Data!Z$4:Z$153,3),3,4)))</f>
        <v>1</v>
      </c>
      <c r="AA55" s="8">
        <f>IF(Data!AA55&lt;=QUARTILE(Data!AA$4:AA$153,1),1,IF(Data!AA55&lt;=MEDIAN(Data!AA$4:AA$153),2,IF(Data!AA55&lt;=QUARTILE(Data!AA$4:AA$153,3),3,4)))</f>
        <v>2</v>
      </c>
      <c r="AB55" s="8">
        <f>IF(Data!AB55&lt;=QUARTILE(Data!AB$4:AB$153,1),1,IF(Data!AB55&lt;=MEDIAN(Data!AB$4:AB$153),2,IF(Data!AB55&lt;=QUARTILE(Data!AB$4:AB$153,3),3,4)))</f>
        <v>1</v>
      </c>
      <c r="AC55" s="8">
        <f>IF(Data!AC55&lt;=QUARTILE(Data!AC$4:AC$153,1),1,IF(Data!AC55&lt;=MEDIAN(Data!AC$4:AC$153),2,IF(Data!AC55&lt;=QUARTILE(Data!AC$4:AC$153,3),3,4)))</f>
        <v>4</v>
      </c>
      <c r="AD55" s="8">
        <f>IF(Data!AD55&lt;=QUARTILE(Data!AD$4:AD$153,1),1,IF(Data!AD55&lt;=MEDIAN(Data!AD$4:AD$153),2,IF(Data!AD55&lt;=QUARTILE(Data!AD$4:AD$153,3),3,4)))</f>
        <v>1</v>
      </c>
      <c r="AE55" s="8">
        <f>IF(Data!AE55&lt;=QUARTILE(Data!AE$4:AE$153,1),1,IF(Data!AE55&lt;=MEDIAN(Data!AE$4:AE$153),2,IF(Data!AE55&lt;=QUARTILE(Data!AE$4:AE$153,3),3,4)))</f>
        <v>3</v>
      </c>
      <c r="AF55" s="8">
        <f>IF(Data!AF55&lt;=QUARTILE(Data!AF$4:AF$153,1),1,IF(Data!AF55&lt;=MEDIAN(Data!AF$4:AF$153),2,IF(Data!AF55&lt;=QUARTILE(Data!AF$4:AF$153,3),3,4)))</f>
        <v>4</v>
      </c>
      <c r="AG55" s="8">
        <f>IF(Data!AG55&lt;=QUARTILE(Data!AG$4:AG$153,1),1,IF(Data!AG55&lt;=MEDIAN(Data!AG$4:AG$153),2,IF(Data!AG55&lt;=QUARTILE(Data!AG$4:AG$153,3),3,4)))</f>
        <v>1</v>
      </c>
      <c r="AH55" s="9">
        <f>IF(Data!AH55&lt;=QUARTILE(Data!AH$4:AH$153,1),1,IF(Data!AH55&lt;=MEDIAN(Data!AH$4:AH$153),2,IF(Data!AH55&lt;=QUARTILE(Data!AH$4:AH$153,3),3,4)))</f>
        <v>2</v>
      </c>
    </row>
    <row r="56" spans="1:34" x14ac:dyDescent="0.25">
      <c r="A56" s="7" t="s">
        <v>16</v>
      </c>
      <c r="B56" s="14" t="s">
        <v>57</v>
      </c>
      <c r="C56" s="7">
        <v>55</v>
      </c>
      <c r="D56" s="8">
        <v>27</v>
      </c>
      <c r="E56" s="42" t="s">
        <v>58</v>
      </c>
      <c r="F56" s="9">
        <v>5.14</v>
      </c>
      <c r="G56" s="7">
        <f>IF(Data!G56&lt;=QUARTILE(Data!G$4:G$153,1),1,IF(Data!G56&lt;=MEDIAN(Data!G$4:G$153),2,IF(Data!G56&lt;=QUARTILE(Data!G$4:G$153,3),3,4)))</f>
        <v>4</v>
      </c>
      <c r="H56" s="8">
        <f>IF(Data!H56&lt;=QUARTILE(Data!H$4:H$153,1),1,IF(Data!H56&lt;=MEDIAN(Data!H$4:H$153),2,IF(Data!H56&lt;=QUARTILE(Data!H$4:H$153,3),3,4)))</f>
        <v>4</v>
      </c>
      <c r="I56" s="8">
        <f>IF(Data!I56&lt;=QUARTILE(Data!I$4:I$153,1),1,IF(Data!I56&lt;=MEDIAN(Data!I$4:I$153),2,IF(Data!I56&lt;=QUARTILE(Data!I$4:I$153,3),3,4)))</f>
        <v>4</v>
      </c>
      <c r="J56" s="8">
        <f>IF(Data!J56&lt;=QUARTILE(Data!J$4:J$153,1),1,IF(Data!J56&lt;=MEDIAN(Data!J$4:J$153),2,IF(Data!J56&lt;=QUARTILE(Data!J$4:J$153,3),3,4)))</f>
        <v>4</v>
      </c>
      <c r="K56" s="8">
        <f>IF(Data!K56&lt;=QUARTILE(Data!K$4:K$153,1),1,IF(Data!K56&lt;=MEDIAN(Data!K$4:K$153),2,IF(Data!K56&lt;=QUARTILE(Data!K$4:K$153,3),3,4)))</f>
        <v>2</v>
      </c>
      <c r="L56" s="8">
        <f>IF(Data!L56&lt;=QUARTILE(Data!L$4:L$153,1),1,IF(Data!L56&lt;=MEDIAN(Data!L$4:L$153),2,IF(Data!L56&lt;=QUARTILE(Data!L$4:L$153,3),3,4)))</f>
        <v>2</v>
      </c>
      <c r="M56" s="8">
        <f>IF(Data!M56&lt;=QUARTILE(Data!M$4:M$153,1),1,IF(Data!M56&lt;=MEDIAN(Data!M$4:M$153),2,IF(Data!M56&lt;=QUARTILE(Data!M$4:M$153,3),3,4)))</f>
        <v>1</v>
      </c>
      <c r="N56" s="8">
        <f>IF(Data!N56&lt;=QUARTILE(Data!N$4:N$153,1),1,IF(Data!N56&lt;=MEDIAN(Data!N$4:N$153),2,IF(Data!N56&lt;=QUARTILE(Data!N$4:N$153,3),3,4)))</f>
        <v>4</v>
      </c>
      <c r="O56" s="8">
        <f>IF(Data!O56&lt;=QUARTILE(Data!O$4:O$153,1),1,IF(Data!O56&lt;=MEDIAN(Data!O$4:O$153),2,IF(Data!O56&lt;=QUARTILE(Data!O$4:O$153,3),3,4)))</f>
        <v>4</v>
      </c>
      <c r="P56" s="8">
        <f>IF(Data!P56&lt;=QUARTILE(Data!P$4:P$153,1),1,IF(Data!P56&lt;=MEDIAN(Data!P$4:P$153),2,IF(Data!P56&lt;=QUARTILE(Data!P$4:P$153,3),3,4)))</f>
        <v>1</v>
      </c>
      <c r="Q56" s="8">
        <f>IF(Data!Q56&lt;=QUARTILE(Data!Q$4:Q$153,1),1,IF(Data!Q56&lt;=MEDIAN(Data!Q$4:Q$153),2,IF(Data!Q56&lt;=QUARTILE(Data!Q$4:Q$153,3),3,4)))</f>
        <v>4</v>
      </c>
      <c r="R56" s="8">
        <f>IF(Data!R56&lt;=QUARTILE(Data!R$4:R$153,1),1,IF(Data!R56&lt;=MEDIAN(Data!R$4:R$153),2,IF(Data!R56&lt;=QUARTILE(Data!R$4:R$153,3),3,4)))</f>
        <v>2</v>
      </c>
      <c r="S56" s="8">
        <f>IF(Data!S56&lt;=QUARTILE(Data!S$4:S$153,1),1,IF(Data!S56&lt;=MEDIAN(Data!S$4:S$153),2,IF(Data!S56&lt;=QUARTILE(Data!S$4:S$153,3),3,4)))</f>
        <v>1</v>
      </c>
      <c r="T56" s="9">
        <f>IF(Data!T56&lt;=QUARTILE(Data!T$4:T$153,1),1,IF(Data!T56&lt;=MEDIAN(Data!T$4:T$153),2,IF(Data!T56&lt;=QUARTILE(Data!T$4:T$153,3),3,4)))</f>
        <v>4</v>
      </c>
      <c r="U56" s="7">
        <f>IF(Data!U56&lt;=QUARTILE(Data!U$4:U$153,1),1,IF(Data!U56&lt;=MEDIAN(Data!U$4:U$153),2,IF(Data!U56&lt;=QUARTILE(Data!U$4:U$153,3),3,4)))</f>
        <v>4</v>
      </c>
      <c r="V56" s="8">
        <f>IF(Data!V56&lt;=QUARTILE(Data!V$4:V$153,1),1,IF(Data!V56&lt;=MEDIAN(Data!V$4:V$153),2,IF(Data!V56&lt;=QUARTILE(Data!V$4:V$153,3),3,4)))</f>
        <v>4</v>
      </c>
      <c r="W56" s="8">
        <f>IF(Data!W56&lt;=QUARTILE(Data!W$4:W$153,1),1,IF(Data!W56&lt;=MEDIAN(Data!W$4:W$153),2,IF(Data!W56&lt;=QUARTILE(Data!W$4:W$153,3),3,4)))</f>
        <v>2</v>
      </c>
      <c r="X56" s="8">
        <f>IF(Data!X56&lt;=QUARTILE(Data!X$4:X$153,1),1,IF(Data!X56&lt;=MEDIAN(Data!X$4:X$153),2,IF(Data!X56&lt;=QUARTILE(Data!X$4:X$153,3),3,4)))</f>
        <v>2</v>
      </c>
      <c r="Y56" s="8">
        <f>IF(Data!Y56&lt;=QUARTILE(Data!Y$4:Y$153,1),1,IF(Data!Y56&lt;=MEDIAN(Data!Y$4:Y$153),2,IF(Data!Y56&lt;=QUARTILE(Data!Y$4:Y$153,3),3,4)))</f>
        <v>1</v>
      </c>
      <c r="Z56" s="8">
        <f>IF(Data!Z56&lt;=QUARTILE(Data!Z$4:Z$153,1),1,IF(Data!Z56&lt;=MEDIAN(Data!Z$4:Z$153),2,IF(Data!Z56&lt;=QUARTILE(Data!Z$4:Z$153,3),3,4)))</f>
        <v>1</v>
      </c>
      <c r="AA56" s="8">
        <f>IF(Data!AA56&lt;=QUARTILE(Data!AA$4:AA$153,1),1,IF(Data!AA56&lt;=MEDIAN(Data!AA$4:AA$153),2,IF(Data!AA56&lt;=QUARTILE(Data!AA$4:AA$153,3),3,4)))</f>
        <v>4</v>
      </c>
      <c r="AB56" s="8">
        <f>IF(Data!AB56&lt;=QUARTILE(Data!AB$4:AB$153,1),1,IF(Data!AB56&lt;=MEDIAN(Data!AB$4:AB$153),2,IF(Data!AB56&lt;=QUARTILE(Data!AB$4:AB$153,3),3,4)))</f>
        <v>3</v>
      </c>
      <c r="AC56" s="8">
        <f>IF(Data!AC56&lt;=QUARTILE(Data!AC$4:AC$153,1),1,IF(Data!AC56&lt;=MEDIAN(Data!AC$4:AC$153),2,IF(Data!AC56&lt;=QUARTILE(Data!AC$4:AC$153,3),3,4)))</f>
        <v>1</v>
      </c>
      <c r="AD56" s="8">
        <f>IF(Data!AD56&lt;=QUARTILE(Data!AD$4:AD$153,1),1,IF(Data!AD56&lt;=MEDIAN(Data!AD$4:AD$153),2,IF(Data!AD56&lt;=QUARTILE(Data!AD$4:AD$153,3),3,4)))</f>
        <v>3</v>
      </c>
      <c r="AE56" s="8">
        <f>IF(Data!AE56&lt;=QUARTILE(Data!AE$4:AE$153,1),1,IF(Data!AE56&lt;=MEDIAN(Data!AE$4:AE$153),2,IF(Data!AE56&lt;=QUARTILE(Data!AE$4:AE$153,3),3,4)))</f>
        <v>1</v>
      </c>
      <c r="AF56" s="8">
        <f>IF(Data!AF56&lt;=QUARTILE(Data!AF$4:AF$153,1),1,IF(Data!AF56&lt;=MEDIAN(Data!AF$4:AF$153),2,IF(Data!AF56&lt;=QUARTILE(Data!AF$4:AF$153,3),3,4)))</f>
        <v>1</v>
      </c>
      <c r="AG56" s="8">
        <f>IF(Data!AG56&lt;=QUARTILE(Data!AG$4:AG$153,1),1,IF(Data!AG56&lt;=MEDIAN(Data!AG$4:AG$153),2,IF(Data!AG56&lt;=QUARTILE(Data!AG$4:AG$153,3),3,4)))</f>
        <v>2</v>
      </c>
      <c r="AH56" s="9">
        <f>IF(Data!AH56&lt;=QUARTILE(Data!AH$4:AH$153,1),1,IF(Data!AH56&lt;=MEDIAN(Data!AH$4:AH$153),2,IF(Data!AH56&lt;=QUARTILE(Data!AH$4:AH$153,3),3,4)))</f>
        <v>4</v>
      </c>
    </row>
    <row r="57" spans="1:34" x14ac:dyDescent="0.25">
      <c r="A57" s="7" t="s">
        <v>55</v>
      </c>
      <c r="B57" s="14" t="s">
        <v>57</v>
      </c>
      <c r="C57" s="7">
        <v>41</v>
      </c>
      <c r="D57" s="8">
        <v>41</v>
      </c>
      <c r="E57" s="42" t="s">
        <v>59</v>
      </c>
      <c r="F57" s="9">
        <v>-0.52</v>
      </c>
      <c r="G57" s="7">
        <f>IF(Data!G57&lt;=QUARTILE(Data!G$4:G$153,1),1,IF(Data!G57&lt;=MEDIAN(Data!G$4:G$153),2,IF(Data!G57&lt;=QUARTILE(Data!G$4:G$153,3),3,4)))</f>
        <v>2</v>
      </c>
      <c r="H57" s="8">
        <f>IF(Data!H57&lt;=QUARTILE(Data!H$4:H$153,1),1,IF(Data!H57&lt;=MEDIAN(Data!H$4:H$153),2,IF(Data!H57&lt;=QUARTILE(Data!H$4:H$153,3),3,4)))</f>
        <v>2</v>
      </c>
      <c r="I57" s="8">
        <f>IF(Data!I57&lt;=QUARTILE(Data!I$4:I$153,1),1,IF(Data!I57&lt;=MEDIAN(Data!I$4:I$153),2,IF(Data!I57&lt;=QUARTILE(Data!I$4:I$153,3),3,4)))</f>
        <v>3</v>
      </c>
      <c r="J57" s="8">
        <f>IF(Data!J57&lt;=QUARTILE(Data!J$4:J$153,1),1,IF(Data!J57&lt;=MEDIAN(Data!J$4:J$153),2,IF(Data!J57&lt;=QUARTILE(Data!J$4:J$153,3),3,4)))</f>
        <v>3</v>
      </c>
      <c r="K57" s="8">
        <f>IF(Data!K57&lt;=QUARTILE(Data!K$4:K$153,1),1,IF(Data!K57&lt;=MEDIAN(Data!K$4:K$153),2,IF(Data!K57&lt;=QUARTILE(Data!K$4:K$153,3),3,4)))</f>
        <v>1</v>
      </c>
      <c r="L57" s="8">
        <f>IF(Data!L57&lt;=QUARTILE(Data!L$4:L$153,1),1,IF(Data!L57&lt;=MEDIAN(Data!L$4:L$153),2,IF(Data!L57&lt;=QUARTILE(Data!L$4:L$153,3),3,4)))</f>
        <v>1</v>
      </c>
      <c r="M57" s="8">
        <f>IF(Data!M57&lt;=QUARTILE(Data!M$4:M$153,1),1,IF(Data!M57&lt;=MEDIAN(Data!M$4:M$153),2,IF(Data!M57&lt;=QUARTILE(Data!M$4:M$153,3),3,4)))</f>
        <v>2</v>
      </c>
      <c r="N57" s="8">
        <f>IF(Data!N57&lt;=QUARTILE(Data!N$4:N$153,1),1,IF(Data!N57&lt;=MEDIAN(Data!N$4:N$153),2,IF(Data!N57&lt;=QUARTILE(Data!N$4:N$153,3),3,4)))</f>
        <v>2</v>
      </c>
      <c r="O57" s="8">
        <f>IF(Data!O57&lt;=QUARTILE(Data!O$4:O$153,1),1,IF(Data!O57&lt;=MEDIAN(Data!O$4:O$153),2,IF(Data!O57&lt;=QUARTILE(Data!O$4:O$153,3),3,4)))</f>
        <v>3</v>
      </c>
      <c r="P57" s="8">
        <f>IF(Data!P57&lt;=QUARTILE(Data!P$4:P$153,1),1,IF(Data!P57&lt;=MEDIAN(Data!P$4:P$153),2,IF(Data!P57&lt;=QUARTILE(Data!P$4:P$153,3),3,4)))</f>
        <v>1</v>
      </c>
      <c r="Q57" s="8">
        <f>IF(Data!Q57&lt;=QUARTILE(Data!Q$4:Q$153,1),1,IF(Data!Q57&lt;=MEDIAN(Data!Q$4:Q$153),2,IF(Data!Q57&lt;=QUARTILE(Data!Q$4:Q$153,3),3,4)))</f>
        <v>2</v>
      </c>
      <c r="R57" s="8">
        <f>IF(Data!R57&lt;=QUARTILE(Data!R$4:R$153,1),1,IF(Data!R57&lt;=MEDIAN(Data!R$4:R$153),2,IF(Data!R57&lt;=QUARTILE(Data!R$4:R$153,3),3,4)))</f>
        <v>1</v>
      </c>
      <c r="S57" s="8">
        <f>IF(Data!S57&lt;=QUARTILE(Data!S$4:S$153,1),1,IF(Data!S57&lt;=MEDIAN(Data!S$4:S$153),2,IF(Data!S57&lt;=QUARTILE(Data!S$4:S$153,3),3,4)))</f>
        <v>1</v>
      </c>
      <c r="T57" s="9">
        <f>IF(Data!T57&lt;=QUARTILE(Data!T$4:T$153,1),1,IF(Data!T57&lt;=MEDIAN(Data!T$4:T$153),2,IF(Data!T57&lt;=QUARTILE(Data!T$4:T$153,3),3,4)))</f>
        <v>1</v>
      </c>
      <c r="U57" s="7">
        <f>IF(Data!U57&lt;=QUARTILE(Data!U$4:U$153,1),1,IF(Data!U57&lt;=MEDIAN(Data!U$4:U$153),2,IF(Data!U57&lt;=QUARTILE(Data!U$4:U$153,3),3,4)))</f>
        <v>2</v>
      </c>
      <c r="V57" s="8">
        <f>IF(Data!V57&lt;=QUARTILE(Data!V$4:V$153,1),1,IF(Data!V57&lt;=MEDIAN(Data!V$4:V$153),2,IF(Data!V57&lt;=QUARTILE(Data!V$4:V$153,3),3,4)))</f>
        <v>3</v>
      </c>
      <c r="W57" s="8">
        <f>IF(Data!W57&lt;=QUARTILE(Data!W$4:W$153,1),1,IF(Data!W57&lt;=MEDIAN(Data!W$4:W$153),2,IF(Data!W57&lt;=QUARTILE(Data!W$4:W$153,3),3,4)))</f>
        <v>3</v>
      </c>
      <c r="X57" s="8">
        <f>IF(Data!X57&lt;=QUARTILE(Data!X$4:X$153,1),1,IF(Data!X57&lt;=MEDIAN(Data!X$4:X$153),2,IF(Data!X57&lt;=QUARTILE(Data!X$4:X$153,3),3,4)))</f>
        <v>3</v>
      </c>
      <c r="Y57" s="8">
        <f>IF(Data!Y57&lt;=QUARTILE(Data!Y$4:Y$153,1),1,IF(Data!Y57&lt;=MEDIAN(Data!Y$4:Y$153),2,IF(Data!Y57&lt;=QUARTILE(Data!Y$4:Y$153,3),3,4)))</f>
        <v>1</v>
      </c>
      <c r="Z57" s="8">
        <f>IF(Data!Z57&lt;=QUARTILE(Data!Z$4:Z$153,1),1,IF(Data!Z57&lt;=MEDIAN(Data!Z$4:Z$153),2,IF(Data!Z57&lt;=QUARTILE(Data!Z$4:Z$153,3),3,4)))</f>
        <v>1</v>
      </c>
      <c r="AA57" s="8">
        <f>IF(Data!AA57&lt;=QUARTILE(Data!AA$4:AA$153,1),1,IF(Data!AA57&lt;=MEDIAN(Data!AA$4:AA$153),2,IF(Data!AA57&lt;=QUARTILE(Data!AA$4:AA$153,3),3,4)))</f>
        <v>3</v>
      </c>
      <c r="AB57" s="8">
        <f>IF(Data!AB57&lt;=QUARTILE(Data!AB$4:AB$153,1),1,IF(Data!AB57&lt;=MEDIAN(Data!AB$4:AB$153),2,IF(Data!AB57&lt;=QUARTILE(Data!AB$4:AB$153,3),3,4)))</f>
        <v>2</v>
      </c>
      <c r="AC57" s="8">
        <f>IF(Data!AC57&lt;=QUARTILE(Data!AC$4:AC$153,1),1,IF(Data!AC57&lt;=MEDIAN(Data!AC$4:AC$153),2,IF(Data!AC57&lt;=QUARTILE(Data!AC$4:AC$153,3),3,4)))</f>
        <v>2</v>
      </c>
      <c r="AD57" s="8">
        <f>IF(Data!AD57&lt;=QUARTILE(Data!AD$4:AD$153,1),1,IF(Data!AD57&lt;=MEDIAN(Data!AD$4:AD$153),2,IF(Data!AD57&lt;=QUARTILE(Data!AD$4:AD$153,3),3,4)))</f>
        <v>1</v>
      </c>
      <c r="AE57" s="8">
        <f>IF(Data!AE57&lt;=QUARTILE(Data!AE$4:AE$153,1),1,IF(Data!AE57&lt;=MEDIAN(Data!AE$4:AE$153),2,IF(Data!AE57&lt;=QUARTILE(Data!AE$4:AE$153,3),3,4)))</f>
        <v>1</v>
      </c>
      <c r="AF57" s="8">
        <f>IF(Data!AF57&lt;=QUARTILE(Data!AF$4:AF$153,1),1,IF(Data!AF57&lt;=MEDIAN(Data!AF$4:AF$153),2,IF(Data!AF57&lt;=QUARTILE(Data!AF$4:AF$153,3),3,4)))</f>
        <v>1</v>
      </c>
      <c r="AG57" s="8">
        <f>IF(Data!AG57&lt;=QUARTILE(Data!AG$4:AG$153,1),1,IF(Data!AG57&lt;=MEDIAN(Data!AG$4:AG$153),2,IF(Data!AG57&lt;=QUARTILE(Data!AG$4:AG$153,3),3,4)))</f>
        <v>1</v>
      </c>
      <c r="AH57" s="9">
        <f>IF(Data!AH57&lt;=QUARTILE(Data!AH$4:AH$153,1),1,IF(Data!AH57&lt;=MEDIAN(Data!AH$4:AH$153),2,IF(Data!AH57&lt;=QUARTILE(Data!AH$4:AH$153,3),3,4)))</f>
        <v>2</v>
      </c>
    </row>
    <row r="58" spans="1:34" x14ac:dyDescent="0.25">
      <c r="A58" s="7" t="s">
        <v>20</v>
      </c>
      <c r="B58" s="14" t="s">
        <v>57</v>
      </c>
      <c r="C58" s="7">
        <v>38</v>
      </c>
      <c r="D58" s="8">
        <v>44</v>
      </c>
      <c r="E58" s="42" t="s">
        <v>59</v>
      </c>
      <c r="F58" s="9">
        <v>-1.85</v>
      </c>
      <c r="G58" s="7">
        <f>IF(Data!G58&lt;=QUARTILE(Data!G$4:G$153,1),1,IF(Data!G58&lt;=MEDIAN(Data!G$4:G$153),2,IF(Data!G58&lt;=QUARTILE(Data!G$4:G$153,3),3,4)))</f>
        <v>3</v>
      </c>
      <c r="H58" s="8">
        <f>IF(Data!H58&lt;=QUARTILE(Data!H$4:H$153,1),1,IF(Data!H58&lt;=MEDIAN(Data!H$4:H$153),2,IF(Data!H58&lt;=QUARTILE(Data!H$4:H$153,3),3,4)))</f>
        <v>2</v>
      </c>
      <c r="I58" s="8">
        <f>IF(Data!I58&lt;=QUARTILE(Data!I$4:I$153,1),1,IF(Data!I58&lt;=MEDIAN(Data!I$4:I$153),2,IF(Data!I58&lt;=QUARTILE(Data!I$4:I$153,3),3,4)))</f>
        <v>3</v>
      </c>
      <c r="J58" s="8">
        <f>IF(Data!J58&lt;=QUARTILE(Data!J$4:J$153,1),1,IF(Data!J58&lt;=MEDIAN(Data!J$4:J$153),2,IF(Data!J58&lt;=QUARTILE(Data!J$4:J$153,3),3,4)))</f>
        <v>2</v>
      </c>
      <c r="K58" s="8">
        <f>IF(Data!K58&lt;=QUARTILE(Data!K$4:K$153,1),1,IF(Data!K58&lt;=MEDIAN(Data!K$4:K$153),2,IF(Data!K58&lt;=QUARTILE(Data!K$4:K$153,3),3,4)))</f>
        <v>4</v>
      </c>
      <c r="L58" s="8">
        <f>IF(Data!L58&lt;=QUARTILE(Data!L$4:L$153,1),1,IF(Data!L58&lt;=MEDIAN(Data!L$4:L$153),2,IF(Data!L58&lt;=QUARTILE(Data!L$4:L$153,3),3,4)))</f>
        <v>4</v>
      </c>
      <c r="M58" s="8">
        <f>IF(Data!M58&lt;=QUARTILE(Data!M$4:M$153,1),1,IF(Data!M58&lt;=MEDIAN(Data!M$4:M$153),2,IF(Data!M58&lt;=QUARTILE(Data!M$4:M$153,3),3,4)))</f>
        <v>1</v>
      </c>
      <c r="N58" s="8">
        <f>IF(Data!N58&lt;=QUARTILE(Data!N$4:N$153,1),1,IF(Data!N58&lt;=MEDIAN(Data!N$4:N$153),2,IF(Data!N58&lt;=QUARTILE(Data!N$4:N$153,3),3,4)))</f>
        <v>2</v>
      </c>
      <c r="O58" s="8">
        <f>IF(Data!O58&lt;=QUARTILE(Data!O$4:O$153,1),1,IF(Data!O58&lt;=MEDIAN(Data!O$4:O$153),2,IF(Data!O58&lt;=QUARTILE(Data!O$4:O$153,3),3,4)))</f>
        <v>1</v>
      </c>
      <c r="P58" s="8">
        <f>IF(Data!P58&lt;=QUARTILE(Data!P$4:P$153,1),1,IF(Data!P58&lt;=MEDIAN(Data!P$4:P$153),2,IF(Data!P58&lt;=QUARTILE(Data!P$4:P$153,3),3,4)))</f>
        <v>4</v>
      </c>
      <c r="Q58" s="8">
        <f>IF(Data!Q58&lt;=QUARTILE(Data!Q$4:Q$153,1),1,IF(Data!Q58&lt;=MEDIAN(Data!Q$4:Q$153),2,IF(Data!Q58&lt;=QUARTILE(Data!Q$4:Q$153,3),3,4)))</f>
        <v>1</v>
      </c>
      <c r="R58" s="8">
        <f>IF(Data!R58&lt;=QUARTILE(Data!R$4:R$153,1),1,IF(Data!R58&lt;=MEDIAN(Data!R$4:R$153),2,IF(Data!R58&lt;=QUARTILE(Data!R$4:R$153,3),3,4)))</f>
        <v>4</v>
      </c>
      <c r="S58" s="8">
        <f>IF(Data!S58&lt;=QUARTILE(Data!S$4:S$153,1),1,IF(Data!S58&lt;=MEDIAN(Data!S$4:S$153),2,IF(Data!S58&lt;=QUARTILE(Data!S$4:S$153,3),3,4)))</f>
        <v>3</v>
      </c>
      <c r="T58" s="9">
        <f>IF(Data!T58&lt;=QUARTILE(Data!T$4:T$153,1),1,IF(Data!T58&lt;=MEDIAN(Data!T$4:T$153),2,IF(Data!T58&lt;=QUARTILE(Data!T$4:T$153,3),3,4)))</f>
        <v>4</v>
      </c>
      <c r="U58" s="7">
        <f>IF(Data!U58&lt;=QUARTILE(Data!U$4:U$153,1),1,IF(Data!U58&lt;=MEDIAN(Data!U$4:U$153),2,IF(Data!U58&lt;=QUARTILE(Data!U$4:U$153,3),3,4)))</f>
        <v>4</v>
      </c>
      <c r="V58" s="8">
        <f>IF(Data!V58&lt;=QUARTILE(Data!V$4:V$153,1),1,IF(Data!V58&lt;=MEDIAN(Data!V$4:V$153),2,IF(Data!V58&lt;=QUARTILE(Data!V$4:V$153,3),3,4)))</f>
        <v>4</v>
      </c>
      <c r="W58" s="8">
        <f>IF(Data!W58&lt;=QUARTILE(Data!W$4:W$153,1),1,IF(Data!W58&lt;=MEDIAN(Data!W$4:W$153),2,IF(Data!W58&lt;=QUARTILE(Data!W$4:W$153,3),3,4)))</f>
        <v>4</v>
      </c>
      <c r="X58" s="8">
        <f>IF(Data!X58&lt;=QUARTILE(Data!X$4:X$153,1),1,IF(Data!X58&lt;=MEDIAN(Data!X$4:X$153),2,IF(Data!X58&lt;=QUARTILE(Data!X$4:X$153,3),3,4)))</f>
        <v>4</v>
      </c>
      <c r="Y58" s="8">
        <f>IF(Data!Y58&lt;=QUARTILE(Data!Y$4:Y$153,1),1,IF(Data!Y58&lt;=MEDIAN(Data!Y$4:Y$153),2,IF(Data!Y58&lt;=QUARTILE(Data!Y$4:Y$153,3),3,4)))</f>
        <v>4</v>
      </c>
      <c r="Z58" s="8">
        <f>IF(Data!Z58&lt;=QUARTILE(Data!Z$4:Z$153,1),1,IF(Data!Z58&lt;=MEDIAN(Data!Z$4:Z$153),2,IF(Data!Z58&lt;=QUARTILE(Data!Z$4:Z$153,3),3,4)))</f>
        <v>4</v>
      </c>
      <c r="AA58" s="8">
        <f>IF(Data!AA58&lt;=QUARTILE(Data!AA$4:AA$153,1),1,IF(Data!AA58&lt;=MEDIAN(Data!AA$4:AA$153),2,IF(Data!AA58&lt;=QUARTILE(Data!AA$4:AA$153,3),3,4)))</f>
        <v>3</v>
      </c>
      <c r="AB58" s="8">
        <f>IF(Data!AB58&lt;=QUARTILE(Data!AB$4:AB$153,1),1,IF(Data!AB58&lt;=MEDIAN(Data!AB$4:AB$153),2,IF(Data!AB58&lt;=QUARTILE(Data!AB$4:AB$153,3),3,4)))</f>
        <v>2</v>
      </c>
      <c r="AC58" s="8">
        <f>IF(Data!AC58&lt;=QUARTILE(Data!AC$4:AC$153,1),1,IF(Data!AC58&lt;=MEDIAN(Data!AC$4:AC$153),2,IF(Data!AC58&lt;=QUARTILE(Data!AC$4:AC$153,3),3,4)))</f>
        <v>4</v>
      </c>
      <c r="AD58" s="8">
        <f>IF(Data!AD58&lt;=QUARTILE(Data!AD$4:AD$153,1),1,IF(Data!AD58&lt;=MEDIAN(Data!AD$4:AD$153),2,IF(Data!AD58&lt;=QUARTILE(Data!AD$4:AD$153,3),3,4)))</f>
        <v>4</v>
      </c>
      <c r="AE58" s="8">
        <f>IF(Data!AE58&lt;=QUARTILE(Data!AE$4:AE$153,1),1,IF(Data!AE58&lt;=MEDIAN(Data!AE$4:AE$153),2,IF(Data!AE58&lt;=QUARTILE(Data!AE$4:AE$153,3),3,4)))</f>
        <v>4</v>
      </c>
      <c r="AF58" s="8">
        <f>IF(Data!AF58&lt;=QUARTILE(Data!AF$4:AF$153,1),1,IF(Data!AF58&lt;=MEDIAN(Data!AF$4:AF$153),2,IF(Data!AF58&lt;=QUARTILE(Data!AF$4:AF$153,3),3,4)))</f>
        <v>3</v>
      </c>
      <c r="AG58" s="8">
        <f>IF(Data!AG58&lt;=QUARTILE(Data!AG$4:AG$153,1),1,IF(Data!AG58&lt;=MEDIAN(Data!AG$4:AG$153),2,IF(Data!AG58&lt;=QUARTILE(Data!AG$4:AG$153,3),3,4)))</f>
        <v>3</v>
      </c>
      <c r="AH58" s="9">
        <f>IF(Data!AH58&lt;=QUARTILE(Data!AH$4:AH$153,1),1,IF(Data!AH58&lt;=MEDIAN(Data!AH$4:AH$153),2,IF(Data!AH58&lt;=QUARTILE(Data!AH$4:AH$153,3),3,4)))</f>
        <v>4</v>
      </c>
    </row>
    <row r="59" spans="1:34" x14ac:dyDescent="0.25">
      <c r="A59" s="7" t="s">
        <v>76</v>
      </c>
      <c r="B59" s="14" t="s">
        <v>57</v>
      </c>
      <c r="C59" s="7">
        <v>56</v>
      </c>
      <c r="D59" s="8">
        <v>26</v>
      </c>
      <c r="E59" s="42" t="s">
        <v>58</v>
      </c>
      <c r="F59" s="9">
        <v>5.0999999999999996</v>
      </c>
      <c r="G59" s="7">
        <f>IF(Data!G59&lt;=QUARTILE(Data!G$4:G$153,1),1,IF(Data!G59&lt;=MEDIAN(Data!G$4:G$153),2,IF(Data!G59&lt;=QUARTILE(Data!G$4:G$153,3),3,4)))</f>
        <v>2</v>
      </c>
      <c r="H59" s="8">
        <f>IF(Data!H59&lt;=QUARTILE(Data!H$4:H$153,1),1,IF(Data!H59&lt;=MEDIAN(Data!H$4:H$153),2,IF(Data!H59&lt;=QUARTILE(Data!H$4:H$153,3),3,4)))</f>
        <v>2</v>
      </c>
      <c r="I59" s="8">
        <f>IF(Data!I59&lt;=QUARTILE(Data!I$4:I$153,1),1,IF(Data!I59&lt;=MEDIAN(Data!I$4:I$153),2,IF(Data!I59&lt;=QUARTILE(Data!I$4:I$153,3),3,4)))</f>
        <v>4</v>
      </c>
      <c r="J59" s="8">
        <f>IF(Data!J59&lt;=QUARTILE(Data!J$4:J$153,1),1,IF(Data!J59&lt;=MEDIAN(Data!J$4:J$153),2,IF(Data!J59&lt;=QUARTILE(Data!J$4:J$153,3),3,4)))</f>
        <v>4</v>
      </c>
      <c r="K59" s="8">
        <f>IF(Data!K59&lt;=QUARTILE(Data!K$4:K$153,1),1,IF(Data!K59&lt;=MEDIAN(Data!K$4:K$153),2,IF(Data!K59&lt;=QUARTILE(Data!K$4:K$153,3),3,4)))</f>
        <v>1</v>
      </c>
      <c r="L59" s="8">
        <f>IF(Data!L59&lt;=QUARTILE(Data!L$4:L$153,1),1,IF(Data!L59&lt;=MEDIAN(Data!L$4:L$153),2,IF(Data!L59&lt;=QUARTILE(Data!L$4:L$153,3),3,4)))</f>
        <v>1</v>
      </c>
      <c r="M59" s="8">
        <f>IF(Data!M59&lt;=QUARTILE(Data!M$4:M$153,1),1,IF(Data!M59&lt;=MEDIAN(Data!M$4:M$153),2,IF(Data!M59&lt;=QUARTILE(Data!M$4:M$153,3),3,4)))</f>
        <v>1</v>
      </c>
      <c r="N59" s="8">
        <f>IF(Data!N59&lt;=QUARTILE(Data!N$4:N$153,1),1,IF(Data!N59&lt;=MEDIAN(Data!N$4:N$153),2,IF(Data!N59&lt;=QUARTILE(Data!N$4:N$153,3),3,4)))</f>
        <v>4</v>
      </c>
      <c r="O59" s="8">
        <f>IF(Data!O59&lt;=QUARTILE(Data!O$4:O$153,1),1,IF(Data!O59&lt;=MEDIAN(Data!O$4:O$153),2,IF(Data!O59&lt;=QUARTILE(Data!O$4:O$153,3),3,4)))</f>
        <v>2</v>
      </c>
      <c r="P59" s="8">
        <f>IF(Data!P59&lt;=QUARTILE(Data!P$4:P$153,1),1,IF(Data!P59&lt;=MEDIAN(Data!P$4:P$153),2,IF(Data!P59&lt;=QUARTILE(Data!P$4:P$153,3),3,4)))</f>
        <v>1</v>
      </c>
      <c r="Q59" s="8">
        <f>IF(Data!Q59&lt;=QUARTILE(Data!Q$4:Q$153,1),1,IF(Data!Q59&lt;=MEDIAN(Data!Q$4:Q$153),2,IF(Data!Q59&lt;=QUARTILE(Data!Q$4:Q$153,3),3,4)))</f>
        <v>1</v>
      </c>
      <c r="R59" s="8">
        <f>IF(Data!R59&lt;=QUARTILE(Data!R$4:R$153,1),1,IF(Data!R59&lt;=MEDIAN(Data!R$4:R$153),2,IF(Data!R59&lt;=QUARTILE(Data!R$4:R$153,3),3,4)))</f>
        <v>1</v>
      </c>
      <c r="S59" s="8">
        <f>IF(Data!S59&lt;=QUARTILE(Data!S$4:S$153,1),1,IF(Data!S59&lt;=MEDIAN(Data!S$4:S$153),2,IF(Data!S59&lt;=QUARTILE(Data!S$4:S$153,3),3,4)))</f>
        <v>1</v>
      </c>
      <c r="T59" s="9">
        <f>IF(Data!T59&lt;=QUARTILE(Data!T$4:T$153,1),1,IF(Data!T59&lt;=MEDIAN(Data!T$4:T$153),2,IF(Data!T59&lt;=QUARTILE(Data!T$4:T$153,3),3,4)))</f>
        <v>1</v>
      </c>
      <c r="U59" s="7">
        <f>IF(Data!U59&lt;=QUARTILE(Data!U$4:U$153,1),1,IF(Data!U59&lt;=MEDIAN(Data!U$4:U$153),2,IF(Data!U59&lt;=QUARTILE(Data!U$4:U$153,3),3,4)))</f>
        <v>1</v>
      </c>
      <c r="V59" s="8">
        <f>IF(Data!V59&lt;=QUARTILE(Data!V$4:V$153,1),1,IF(Data!V59&lt;=MEDIAN(Data!V$4:V$153),2,IF(Data!V59&lt;=QUARTILE(Data!V$4:V$153,3),3,4)))</f>
        <v>2</v>
      </c>
      <c r="W59" s="8">
        <f>IF(Data!W59&lt;=QUARTILE(Data!W$4:W$153,1),1,IF(Data!W59&lt;=MEDIAN(Data!W$4:W$153),2,IF(Data!W59&lt;=QUARTILE(Data!W$4:W$153,3),3,4)))</f>
        <v>1</v>
      </c>
      <c r="X59" s="8">
        <f>IF(Data!X59&lt;=QUARTILE(Data!X$4:X$153,1),1,IF(Data!X59&lt;=MEDIAN(Data!X$4:X$153),2,IF(Data!X59&lt;=QUARTILE(Data!X$4:X$153,3),3,4)))</f>
        <v>1</v>
      </c>
      <c r="Y59" s="8">
        <f>IF(Data!Y59&lt;=QUARTILE(Data!Y$4:Y$153,1),1,IF(Data!Y59&lt;=MEDIAN(Data!Y$4:Y$153),2,IF(Data!Y59&lt;=QUARTILE(Data!Y$4:Y$153,3),3,4)))</f>
        <v>1</v>
      </c>
      <c r="Z59" s="8">
        <f>IF(Data!Z59&lt;=QUARTILE(Data!Z$4:Z$153,1),1,IF(Data!Z59&lt;=MEDIAN(Data!Z$4:Z$153),2,IF(Data!Z59&lt;=QUARTILE(Data!Z$4:Z$153,3),3,4)))</f>
        <v>1</v>
      </c>
      <c r="AA59" s="8">
        <f>IF(Data!AA59&lt;=QUARTILE(Data!AA$4:AA$153,1),1,IF(Data!AA59&lt;=MEDIAN(Data!AA$4:AA$153),2,IF(Data!AA59&lt;=QUARTILE(Data!AA$4:AA$153,3),3,4)))</f>
        <v>1</v>
      </c>
      <c r="AB59" s="8">
        <f>IF(Data!AB59&lt;=QUARTILE(Data!AB$4:AB$153,1),1,IF(Data!AB59&lt;=MEDIAN(Data!AB$4:AB$153),2,IF(Data!AB59&lt;=QUARTILE(Data!AB$4:AB$153,3),3,4)))</f>
        <v>3</v>
      </c>
      <c r="AC59" s="8">
        <f>IF(Data!AC59&lt;=QUARTILE(Data!AC$4:AC$153,1),1,IF(Data!AC59&lt;=MEDIAN(Data!AC$4:AC$153),2,IF(Data!AC59&lt;=QUARTILE(Data!AC$4:AC$153,3),3,4)))</f>
        <v>1</v>
      </c>
      <c r="AD59" s="8">
        <f>IF(Data!AD59&lt;=QUARTILE(Data!AD$4:AD$153,1),1,IF(Data!AD59&lt;=MEDIAN(Data!AD$4:AD$153),2,IF(Data!AD59&lt;=QUARTILE(Data!AD$4:AD$153,3),3,4)))</f>
        <v>2</v>
      </c>
      <c r="AE59" s="8">
        <f>IF(Data!AE59&lt;=QUARTILE(Data!AE$4:AE$153,1),1,IF(Data!AE59&lt;=MEDIAN(Data!AE$4:AE$153),2,IF(Data!AE59&lt;=QUARTILE(Data!AE$4:AE$153,3),3,4)))</f>
        <v>2</v>
      </c>
      <c r="AF59" s="8">
        <f>IF(Data!AF59&lt;=QUARTILE(Data!AF$4:AF$153,1),1,IF(Data!AF59&lt;=MEDIAN(Data!AF$4:AF$153),2,IF(Data!AF59&lt;=QUARTILE(Data!AF$4:AF$153,3),3,4)))</f>
        <v>1</v>
      </c>
      <c r="AG59" s="8">
        <f>IF(Data!AG59&lt;=QUARTILE(Data!AG$4:AG$153,1),1,IF(Data!AG59&lt;=MEDIAN(Data!AG$4:AG$153),2,IF(Data!AG59&lt;=QUARTILE(Data!AG$4:AG$153,3),3,4)))</f>
        <v>1</v>
      </c>
      <c r="AH59" s="9">
        <f>IF(Data!AH59&lt;=QUARTILE(Data!AH$4:AH$153,1),1,IF(Data!AH59&lt;=MEDIAN(Data!AH$4:AH$153),2,IF(Data!AH59&lt;=QUARTILE(Data!AH$4:AH$153,3),3,4)))</f>
        <v>1</v>
      </c>
    </row>
    <row r="60" spans="1:34" x14ac:dyDescent="0.25">
      <c r="A60" s="7" t="s">
        <v>56</v>
      </c>
      <c r="B60" s="14" t="s">
        <v>57</v>
      </c>
      <c r="C60" s="7">
        <v>20</v>
      </c>
      <c r="D60" s="8">
        <v>62</v>
      </c>
      <c r="E60" s="42" t="s">
        <v>59</v>
      </c>
      <c r="F60" s="9">
        <v>-8.0399999999999991</v>
      </c>
      <c r="G60" s="7">
        <f>IF(Data!G60&lt;=QUARTILE(Data!G$4:G$153,1),1,IF(Data!G60&lt;=MEDIAN(Data!G$4:G$153),2,IF(Data!G60&lt;=QUARTILE(Data!G$4:G$153,3),3,4)))</f>
        <v>4</v>
      </c>
      <c r="H60" s="8">
        <f>IF(Data!H60&lt;=QUARTILE(Data!H$4:H$153,1),1,IF(Data!H60&lt;=MEDIAN(Data!H$4:H$153),2,IF(Data!H60&lt;=QUARTILE(Data!H$4:H$153,3),3,4)))</f>
        <v>4</v>
      </c>
      <c r="I60" s="8">
        <f>IF(Data!I60&lt;=QUARTILE(Data!I$4:I$153,1),1,IF(Data!I60&lt;=MEDIAN(Data!I$4:I$153),2,IF(Data!I60&lt;=QUARTILE(Data!I$4:I$153,3),3,4)))</f>
        <v>1</v>
      </c>
      <c r="J60" s="8">
        <f>IF(Data!J60&lt;=QUARTILE(Data!J$4:J$153,1),1,IF(Data!J60&lt;=MEDIAN(Data!J$4:J$153),2,IF(Data!J60&lt;=QUARTILE(Data!J$4:J$153,3),3,4)))</f>
        <v>1</v>
      </c>
      <c r="K60" s="8">
        <f>IF(Data!K60&lt;=QUARTILE(Data!K$4:K$153,1),1,IF(Data!K60&lt;=MEDIAN(Data!K$4:K$153),2,IF(Data!K60&lt;=QUARTILE(Data!K$4:K$153,3),3,4)))</f>
        <v>1</v>
      </c>
      <c r="L60" s="8">
        <f>IF(Data!L60&lt;=QUARTILE(Data!L$4:L$153,1),1,IF(Data!L60&lt;=MEDIAN(Data!L$4:L$153),2,IF(Data!L60&lt;=QUARTILE(Data!L$4:L$153,3),3,4)))</f>
        <v>1</v>
      </c>
      <c r="M60" s="8">
        <f>IF(Data!M60&lt;=QUARTILE(Data!M$4:M$153,1),1,IF(Data!M60&lt;=MEDIAN(Data!M$4:M$153),2,IF(Data!M60&lt;=QUARTILE(Data!M$4:M$153,3),3,4)))</f>
        <v>3</v>
      </c>
      <c r="N60" s="8">
        <f>IF(Data!N60&lt;=QUARTILE(Data!N$4:N$153,1),1,IF(Data!N60&lt;=MEDIAN(Data!N$4:N$153),2,IF(Data!N60&lt;=QUARTILE(Data!N$4:N$153,3),3,4)))</f>
        <v>4</v>
      </c>
      <c r="O60" s="8">
        <f>IF(Data!O60&lt;=QUARTILE(Data!O$4:O$153,1),1,IF(Data!O60&lt;=MEDIAN(Data!O$4:O$153),2,IF(Data!O60&lt;=QUARTILE(Data!O$4:O$153,3),3,4)))</f>
        <v>3</v>
      </c>
      <c r="P60" s="8">
        <f>IF(Data!P60&lt;=QUARTILE(Data!P$4:P$153,1),1,IF(Data!P60&lt;=MEDIAN(Data!P$4:P$153),2,IF(Data!P60&lt;=QUARTILE(Data!P$4:P$153,3),3,4)))</f>
        <v>1</v>
      </c>
      <c r="Q60" s="8">
        <f>IF(Data!Q60&lt;=QUARTILE(Data!Q$4:Q$153,1),1,IF(Data!Q60&lt;=MEDIAN(Data!Q$4:Q$153),2,IF(Data!Q60&lt;=QUARTILE(Data!Q$4:Q$153,3),3,4)))</f>
        <v>3</v>
      </c>
      <c r="R60" s="8">
        <f>IF(Data!R60&lt;=QUARTILE(Data!R$4:R$153,1),1,IF(Data!R60&lt;=MEDIAN(Data!R$4:R$153),2,IF(Data!R60&lt;=QUARTILE(Data!R$4:R$153,3),3,4)))</f>
        <v>4</v>
      </c>
      <c r="S60" s="8">
        <f>IF(Data!S60&lt;=QUARTILE(Data!S$4:S$153,1),1,IF(Data!S60&lt;=MEDIAN(Data!S$4:S$153),2,IF(Data!S60&lt;=QUARTILE(Data!S$4:S$153,3),3,4)))</f>
        <v>1</v>
      </c>
      <c r="T60" s="9">
        <f>IF(Data!T60&lt;=QUARTILE(Data!T$4:T$153,1),1,IF(Data!T60&lt;=MEDIAN(Data!T$4:T$153),2,IF(Data!T60&lt;=QUARTILE(Data!T$4:T$153,3),3,4)))</f>
        <v>2</v>
      </c>
      <c r="U60" s="7">
        <f>IF(Data!U60&lt;=QUARTILE(Data!U$4:U$153,1),1,IF(Data!U60&lt;=MEDIAN(Data!U$4:U$153),2,IF(Data!U60&lt;=QUARTILE(Data!U$4:U$153,3),3,4)))</f>
        <v>4</v>
      </c>
      <c r="V60" s="8">
        <f>IF(Data!V60&lt;=QUARTILE(Data!V$4:V$153,1),1,IF(Data!V60&lt;=MEDIAN(Data!V$4:V$153),2,IF(Data!V60&lt;=QUARTILE(Data!V$4:V$153,3),3,4)))</f>
        <v>4</v>
      </c>
      <c r="W60" s="8">
        <f>IF(Data!W60&lt;=QUARTILE(Data!W$4:W$153,1),1,IF(Data!W60&lt;=MEDIAN(Data!W$4:W$153),2,IF(Data!W60&lt;=QUARTILE(Data!W$4:W$153,3),3,4)))</f>
        <v>4</v>
      </c>
      <c r="X60" s="8">
        <f>IF(Data!X60&lt;=QUARTILE(Data!X$4:X$153,1),1,IF(Data!X60&lt;=MEDIAN(Data!X$4:X$153),2,IF(Data!X60&lt;=QUARTILE(Data!X$4:X$153,3),3,4)))</f>
        <v>4</v>
      </c>
      <c r="Y60" s="8">
        <f>IF(Data!Y60&lt;=QUARTILE(Data!Y$4:Y$153,1),1,IF(Data!Y60&lt;=MEDIAN(Data!Y$4:Y$153),2,IF(Data!Y60&lt;=QUARTILE(Data!Y$4:Y$153,3),3,4)))</f>
        <v>2</v>
      </c>
      <c r="Z60" s="8">
        <f>IF(Data!Z60&lt;=QUARTILE(Data!Z$4:Z$153,1),1,IF(Data!Z60&lt;=MEDIAN(Data!Z$4:Z$153),2,IF(Data!Z60&lt;=QUARTILE(Data!Z$4:Z$153,3),3,4)))</f>
        <v>2</v>
      </c>
      <c r="AA60" s="8">
        <f>IF(Data!AA60&lt;=QUARTILE(Data!AA$4:AA$153,1),1,IF(Data!AA60&lt;=MEDIAN(Data!AA$4:AA$153),2,IF(Data!AA60&lt;=QUARTILE(Data!AA$4:AA$153,3),3,4)))</f>
        <v>3</v>
      </c>
      <c r="AB60" s="8">
        <f>IF(Data!AB60&lt;=QUARTILE(Data!AB$4:AB$153,1),1,IF(Data!AB60&lt;=MEDIAN(Data!AB$4:AB$153),2,IF(Data!AB60&lt;=QUARTILE(Data!AB$4:AB$153,3),3,4)))</f>
        <v>4</v>
      </c>
      <c r="AC60" s="8">
        <f>IF(Data!AC60&lt;=QUARTILE(Data!AC$4:AC$153,1),1,IF(Data!AC60&lt;=MEDIAN(Data!AC$4:AC$153),2,IF(Data!AC60&lt;=QUARTILE(Data!AC$4:AC$153,3),3,4)))</f>
        <v>4</v>
      </c>
      <c r="AD60" s="8">
        <f>IF(Data!AD60&lt;=QUARTILE(Data!AD$4:AD$153,1),1,IF(Data!AD60&lt;=MEDIAN(Data!AD$4:AD$153),2,IF(Data!AD60&lt;=QUARTILE(Data!AD$4:AD$153,3),3,4)))</f>
        <v>4</v>
      </c>
      <c r="AE60" s="8">
        <f>IF(Data!AE60&lt;=QUARTILE(Data!AE$4:AE$153,1),1,IF(Data!AE60&lt;=MEDIAN(Data!AE$4:AE$153),2,IF(Data!AE60&lt;=QUARTILE(Data!AE$4:AE$153,3),3,4)))</f>
        <v>4</v>
      </c>
      <c r="AF60" s="8">
        <f>IF(Data!AF60&lt;=QUARTILE(Data!AF$4:AF$153,1),1,IF(Data!AF60&lt;=MEDIAN(Data!AF$4:AF$153),2,IF(Data!AF60&lt;=QUARTILE(Data!AF$4:AF$153,3),3,4)))</f>
        <v>1</v>
      </c>
      <c r="AG60" s="8">
        <f>IF(Data!AG60&lt;=QUARTILE(Data!AG$4:AG$153,1),1,IF(Data!AG60&lt;=MEDIAN(Data!AG$4:AG$153),2,IF(Data!AG60&lt;=QUARTILE(Data!AG$4:AG$153,3),3,4)))</f>
        <v>1</v>
      </c>
      <c r="AH60" s="9">
        <f>IF(Data!AH60&lt;=QUARTILE(Data!AH$4:AH$153,1),1,IF(Data!AH60&lt;=MEDIAN(Data!AH$4:AH$153),2,IF(Data!AH60&lt;=QUARTILE(Data!AH$4:AH$153,3),3,4)))</f>
        <v>4</v>
      </c>
    </row>
    <row r="61" spans="1:34" x14ac:dyDescent="0.25">
      <c r="A61" s="7" t="s">
        <v>22</v>
      </c>
      <c r="B61" s="14" t="s">
        <v>57</v>
      </c>
      <c r="C61" s="7">
        <v>41</v>
      </c>
      <c r="D61" s="8">
        <v>41</v>
      </c>
      <c r="E61" s="42" t="s">
        <v>58</v>
      </c>
      <c r="F61" s="9">
        <v>2.4700000000000002</v>
      </c>
      <c r="G61" s="7">
        <f>IF(Data!G61&lt;=QUARTILE(Data!G$4:G$153,1),1,IF(Data!G61&lt;=MEDIAN(Data!G$4:G$153),2,IF(Data!G61&lt;=QUARTILE(Data!G$4:G$153,3),3,4)))</f>
        <v>4</v>
      </c>
      <c r="H61" s="8">
        <f>IF(Data!H61&lt;=QUARTILE(Data!H$4:H$153,1),1,IF(Data!H61&lt;=MEDIAN(Data!H$4:H$153),2,IF(Data!H61&lt;=QUARTILE(Data!H$4:H$153,3),3,4)))</f>
        <v>4</v>
      </c>
      <c r="I61" s="8">
        <f>IF(Data!I61&lt;=QUARTILE(Data!I$4:I$153,1),1,IF(Data!I61&lt;=MEDIAN(Data!I$4:I$153),2,IF(Data!I61&lt;=QUARTILE(Data!I$4:I$153,3),3,4)))</f>
        <v>3</v>
      </c>
      <c r="J61" s="8">
        <f>IF(Data!J61&lt;=QUARTILE(Data!J$4:J$153,1),1,IF(Data!J61&lt;=MEDIAN(Data!J$4:J$153),2,IF(Data!J61&lt;=QUARTILE(Data!J$4:J$153,3),3,4)))</f>
        <v>3</v>
      </c>
      <c r="K61" s="8">
        <f>IF(Data!K61&lt;=QUARTILE(Data!K$4:K$153,1),1,IF(Data!K61&lt;=MEDIAN(Data!K$4:K$153),2,IF(Data!K61&lt;=QUARTILE(Data!K$4:K$153,3),3,4)))</f>
        <v>1</v>
      </c>
      <c r="L61" s="8">
        <f>IF(Data!L61&lt;=QUARTILE(Data!L$4:L$153,1),1,IF(Data!L61&lt;=MEDIAN(Data!L$4:L$153),2,IF(Data!L61&lt;=QUARTILE(Data!L$4:L$153,3),3,4)))</f>
        <v>1</v>
      </c>
      <c r="M61" s="8">
        <f>IF(Data!M61&lt;=QUARTILE(Data!M$4:M$153,1),1,IF(Data!M61&lt;=MEDIAN(Data!M$4:M$153),2,IF(Data!M61&lt;=QUARTILE(Data!M$4:M$153,3),3,4)))</f>
        <v>1</v>
      </c>
      <c r="N61" s="8">
        <f>IF(Data!N61&lt;=QUARTILE(Data!N$4:N$153,1),1,IF(Data!N61&lt;=MEDIAN(Data!N$4:N$153),2,IF(Data!N61&lt;=QUARTILE(Data!N$4:N$153,3),3,4)))</f>
        <v>3</v>
      </c>
      <c r="O61" s="8">
        <f>IF(Data!O61&lt;=QUARTILE(Data!O$4:O$153,1),1,IF(Data!O61&lt;=MEDIAN(Data!O$4:O$153),2,IF(Data!O61&lt;=QUARTILE(Data!O$4:O$153,3),3,4)))</f>
        <v>4</v>
      </c>
      <c r="P61" s="8">
        <f>IF(Data!P61&lt;=QUARTILE(Data!P$4:P$153,1),1,IF(Data!P61&lt;=MEDIAN(Data!P$4:P$153),2,IF(Data!P61&lt;=QUARTILE(Data!P$4:P$153,3),3,4)))</f>
        <v>2</v>
      </c>
      <c r="Q61" s="8">
        <f>IF(Data!Q61&lt;=QUARTILE(Data!Q$4:Q$153,1),1,IF(Data!Q61&lt;=MEDIAN(Data!Q$4:Q$153),2,IF(Data!Q61&lt;=QUARTILE(Data!Q$4:Q$153,3),3,4)))</f>
        <v>1</v>
      </c>
      <c r="R61" s="8">
        <f>IF(Data!R61&lt;=QUARTILE(Data!R$4:R$153,1),1,IF(Data!R61&lt;=MEDIAN(Data!R$4:R$153),2,IF(Data!R61&lt;=QUARTILE(Data!R$4:R$153,3),3,4)))</f>
        <v>1</v>
      </c>
      <c r="S61" s="8">
        <f>IF(Data!S61&lt;=QUARTILE(Data!S$4:S$153,1),1,IF(Data!S61&lt;=MEDIAN(Data!S$4:S$153),2,IF(Data!S61&lt;=QUARTILE(Data!S$4:S$153,3),3,4)))</f>
        <v>1</v>
      </c>
      <c r="T61" s="9">
        <f>IF(Data!T61&lt;=QUARTILE(Data!T$4:T$153,1),1,IF(Data!T61&lt;=MEDIAN(Data!T$4:T$153),2,IF(Data!T61&lt;=QUARTILE(Data!T$4:T$153,3),3,4)))</f>
        <v>3</v>
      </c>
      <c r="U61" s="7">
        <f>IF(Data!U61&lt;=QUARTILE(Data!U$4:U$153,1),1,IF(Data!U61&lt;=MEDIAN(Data!U$4:U$153),2,IF(Data!U61&lt;=QUARTILE(Data!U$4:U$153,3),3,4)))</f>
        <v>3</v>
      </c>
      <c r="V61" s="8">
        <f>IF(Data!V61&lt;=QUARTILE(Data!V$4:V$153,1),1,IF(Data!V61&lt;=MEDIAN(Data!V$4:V$153),2,IF(Data!V61&lt;=QUARTILE(Data!V$4:V$153,3),3,4)))</f>
        <v>3</v>
      </c>
      <c r="W61" s="8">
        <f>IF(Data!W61&lt;=QUARTILE(Data!W$4:W$153,1),1,IF(Data!W61&lt;=MEDIAN(Data!W$4:W$153),2,IF(Data!W61&lt;=QUARTILE(Data!W$4:W$153,3),3,4)))</f>
        <v>4</v>
      </c>
      <c r="X61" s="8">
        <f>IF(Data!X61&lt;=QUARTILE(Data!X$4:X$153,1),1,IF(Data!X61&lt;=MEDIAN(Data!X$4:X$153),2,IF(Data!X61&lt;=QUARTILE(Data!X$4:X$153,3),3,4)))</f>
        <v>4</v>
      </c>
      <c r="Y61" s="8">
        <f>IF(Data!Y61&lt;=QUARTILE(Data!Y$4:Y$153,1),1,IF(Data!Y61&lt;=MEDIAN(Data!Y$4:Y$153),2,IF(Data!Y61&lt;=QUARTILE(Data!Y$4:Y$153,3),3,4)))</f>
        <v>1</v>
      </c>
      <c r="Z61" s="8">
        <f>IF(Data!Z61&lt;=QUARTILE(Data!Z$4:Z$153,1),1,IF(Data!Z61&lt;=MEDIAN(Data!Z$4:Z$153),2,IF(Data!Z61&lt;=QUARTILE(Data!Z$4:Z$153,3),3,4)))</f>
        <v>1</v>
      </c>
      <c r="AA61" s="8">
        <f>IF(Data!AA61&lt;=QUARTILE(Data!AA$4:AA$153,1),1,IF(Data!AA61&lt;=MEDIAN(Data!AA$4:AA$153),2,IF(Data!AA61&lt;=QUARTILE(Data!AA$4:AA$153,3),3,4)))</f>
        <v>1</v>
      </c>
      <c r="AB61" s="8">
        <f>IF(Data!AB61&lt;=QUARTILE(Data!AB$4:AB$153,1),1,IF(Data!AB61&lt;=MEDIAN(Data!AB$4:AB$153),2,IF(Data!AB61&lt;=QUARTILE(Data!AB$4:AB$153,3),3,4)))</f>
        <v>4</v>
      </c>
      <c r="AC61" s="8">
        <f>IF(Data!AC61&lt;=QUARTILE(Data!AC$4:AC$153,1),1,IF(Data!AC61&lt;=MEDIAN(Data!AC$4:AC$153),2,IF(Data!AC61&lt;=QUARTILE(Data!AC$4:AC$153,3),3,4)))</f>
        <v>3</v>
      </c>
      <c r="AD61" s="8">
        <f>IF(Data!AD61&lt;=QUARTILE(Data!AD$4:AD$153,1),1,IF(Data!AD61&lt;=MEDIAN(Data!AD$4:AD$153),2,IF(Data!AD61&lt;=QUARTILE(Data!AD$4:AD$153,3),3,4)))</f>
        <v>1</v>
      </c>
      <c r="AE61" s="8">
        <f>IF(Data!AE61&lt;=QUARTILE(Data!AE$4:AE$153,1),1,IF(Data!AE61&lt;=MEDIAN(Data!AE$4:AE$153),2,IF(Data!AE61&lt;=QUARTILE(Data!AE$4:AE$153,3),3,4)))</f>
        <v>1</v>
      </c>
      <c r="AF61" s="8">
        <f>IF(Data!AF61&lt;=QUARTILE(Data!AF$4:AF$153,1),1,IF(Data!AF61&lt;=MEDIAN(Data!AF$4:AF$153),2,IF(Data!AF61&lt;=QUARTILE(Data!AF$4:AF$153,3),3,4)))</f>
        <v>2</v>
      </c>
      <c r="AG61" s="8">
        <f>IF(Data!AG61&lt;=QUARTILE(Data!AG$4:AG$153,1),1,IF(Data!AG61&lt;=MEDIAN(Data!AG$4:AG$153),2,IF(Data!AG61&lt;=QUARTILE(Data!AG$4:AG$153,3),3,4)))</f>
        <v>1</v>
      </c>
      <c r="AH61" s="9">
        <f>IF(Data!AH61&lt;=QUARTILE(Data!AH$4:AH$153,1),1,IF(Data!AH61&lt;=MEDIAN(Data!AH$4:AH$153),2,IF(Data!AH61&lt;=QUARTILE(Data!AH$4:AH$153,3),3,4)))</f>
        <v>2</v>
      </c>
    </row>
    <row r="62" spans="1:34" x14ac:dyDescent="0.25">
      <c r="A62" s="7" t="s">
        <v>67</v>
      </c>
      <c r="B62" s="14" t="s">
        <v>57</v>
      </c>
      <c r="C62" s="7">
        <v>54</v>
      </c>
      <c r="D62" s="8">
        <v>28</v>
      </c>
      <c r="E62" s="42" t="s">
        <v>58</v>
      </c>
      <c r="F62" s="9">
        <v>6.87</v>
      </c>
      <c r="G62" s="7">
        <f>IF(Data!G62&lt;=QUARTILE(Data!G$4:G$153,1),1,IF(Data!G62&lt;=MEDIAN(Data!G$4:G$153),2,IF(Data!G62&lt;=QUARTILE(Data!G$4:G$153,3),3,4)))</f>
        <v>4</v>
      </c>
      <c r="H62" s="8">
        <f>IF(Data!H62&lt;=QUARTILE(Data!H$4:H$153,1),1,IF(Data!H62&lt;=MEDIAN(Data!H$4:H$153),2,IF(Data!H62&lt;=QUARTILE(Data!H$4:H$153,3),3,4)))</f>
        <v>3</v>
      </c>
      <c r="I62" s="8">
        <f>IF(Data!I62&lt;=QUARTILE(Data!I$4:I$153,1),1,IF(Data!I62&lt;=MEDIAN(Data!I$4:I$153),2,IF(Data!I62&lt;=QUARTILE(Data!I$4:I$153,3),3,4)))</f>
        <v>1</v>
      </c>
      <c r="J62" s="8">
        <f>IF(Data!J62&lt;=QUARTILE(Data!J$4:J$153,1),1,IF(Data!J62&lt;=MEDIAN(Data!J$4:J$153),2,IF(Data!J62&lt;=QUARTILE(Data!J$4:J$153,3),3,4)))</f>
        <v>1</v>
      </c>
      <c r="K62" s="8">
        <f>IF(Data!K62&lt;=QUARTILE(Data!K$4:K$153,1),1,IF(Data!K62&lt;=MEDIAN(Data!K$4:K$153),2,IF(Data!K62&lt;=QUARTILE(Data!K$4:K$153,3),3,4)))</f>
        <v>4</v>
      </c>
      <c r="L62" s="8">
        <f>IF(Data!L62&lt;=QUARTILE(Data!L$4:L$153,1),1,IF(Data!L62&lt;=MEDIAN(Data!L$4:L$153),2,IF(Data!L62&lt;=QUARTILE(Data!L$4:L$153,3),3,4)))</f>
        <v>4</v>
      </c>
      <c r="M62" s="8">
        <f>IF(Data!M62&lt;=QUARTILE(Data!M$4:M$153,1),1,IF(Data!M62&lt;=MEDIAN(Data!M$4:M$153),2,IF(Data!M62&lt;=QUARTILE(Data!M$4:M$153,3),3,4)))</f>
        <v>3</v>
      </c>
      <c r="N62" s="8">
        <f>IF(Data!N62&lt;=QUARTILE(Data!N$4:N$153,1),1,IF(Data!N62&lt;=MEDIAN(Data!N$4:N$153),2,IF(Data!N62&lt;=QUARTILE(Data!N$4:N$153,3),3,4)))</f>
        <v>2</v>
      </c>
      <c r="O62" s="8">
        <f>IF(Data!O62&lt;=QUARTILE(Data!O$4:O$153,1),1,IF(Data!O62&lt;=MEDIAN(Data!O$4:O$153),2,IF(Data!O62&lt;=QUARTILE(Data!O$4:O$153,3),3,4)))</f>
        <v>4</v>
      </c>
      <c r="P62" s="8">
        <f>IF(Data!P62&lt;=QUARTILE(Data!P$4:P$153,1),1,IF(Data!P62&lt;=MEDIAN(Data!P$4:P$153),2,IF(Data!P62&lt;=QUARTILE(Data!P$4:P$153,3),3,4)))</f>
        <v>4</v>
      </c>
      <c r="Q62" s="8">
        <f>IF(Data!Q62&lt;=QUARTILE(Data!Q$4:Q$153,1),1,IF(Data!Q62&lt;=MEDIAN(Data!Q$4:Q$153),2,IF(Data!Q62&lt;=QUARTILE(Data!Q$4:Q$153,3),3,4)))</f>
        <v>2</v>
      </c>
      <c r="R62" s="8">
        <f>IF(Data!R62&lt;=QUARTILE(Data!R$4:R$153,1),1,IF(Data!R62&lt;=MEDIAN(Data!R$4:R$153),2,IF(Data!R62&lt;=QUARTILE(Data!R$4:R$153,3),3,4)))</f>
        <v>3</v>
      </c>
      <c r="S62" s="8">
        <f>IF(Data!S62&lt;=QUARTILE(Data!S$4:S$153,1),1,IF(Data!S62&lt;=MEDIAN(Data!S$4:S$153),2,IF(Data!S62&lt;=QUARTILE(Data!S$4:S$153,3),3,4)))</f>
        <v>4</v>
      </c>
      <c r="T62" s="9">
        <f>IF(Data!T62&lt;=QUARTILE(Data!T$4:T$153,1),1,IF(Data!T62&lt;=MEDIAN(Data!T$4:T$153),2,IF(Data!T62&lt;=QUARTILE(Data!T$4:T$153,3),3,4)))</f>
        <v>4</v>
      </c>
      <c r="U62" s="7">
        <f>IF(Data!U62&lt;=QUARTILE(Data!U$4:U$153,1),1,IF(Data!U62&lt;=MEDIAN(Data!U$4:U$153),2,IF(Data!U62&lt;=QUARTILE(Data!U$4:U$153,3),3,4)))</f>
        <v>2</v>
      </c>
      <c r="V62" s="8">
        <f>IF(Data!V62&lt;=QUARTILE(Data!V$4:V$153,1),1,IF(Data!V62&lt;=MEDIAN(Data!V$4:V$153),2,IF(Data!V62&lt;=QUARTILE(Data!V$4:V$153,3),3,4)))</f>
        <v>1</v>
      </c>
      <c r="W62" s="8">
        <f>IF(Data!W62&lt;=QUARTILE(Data!W$4:W$153,1),1,IF(Data!W62&lt;=MEDIAN(Data!W$4:W$153),2,IF(Data!W62&lt;=QUARTILE(Data!W$4:W$153,3),3,4)))</f>
        <v>3</v>
      </c>
      <c r="X62" s="8">
        <f>IF(Data!X62&lt;=QUARTILE(Data!X$4:X$153,1),1,IF(Data!X62&lt;=MEDIAN(Data!X$4:X$153),2,IF(Data!X62&lt;=QUARTILE(Data!X$4:X$153,3),3,4)))</f>
        <v>3</v>
      </c>
      <c r="Y62" s="8">
        <f>IF(Data!Y62&lt;=QUARTILE(Data!Y$4:Y$153,1),1,IF(Data!Y62&lt;=MEDIAN(Data!Y$4:Y$153),2,IF(Data!Y62&lt;=QUARTILE(Data!Y$4:Y$153,3),3,4)))</f>
        <v>4</v>
      </c>
      <c r="Z62" s="8">
        <f>IF(Data!Z62&lt;=QUARTILE(Data!Z$4:Z$153,1),1,IF(Data!Z62&lt;=MEDIAN(Data!Z$4:Z$153),2,IF(Data!Z62&lt;=QUARTILE(Data!Z$4:Z$153,3),3,4)))</f>
        <v>4</v>
      </c>
      <c r="AA62" s="8">
        <f>IF(Data!AA62&lt;=QUARTILE(Data!AA$4:AA$153,1),1,IF(Data!AA62&lt;=MEDIAN(Data!AA$4:AA$153),2,IF(Data!AA62&lt;=QUARTILE(Data!AA$4:AA$153,3),3,4)))</f>
        <v>1</v>
      </c>
      <c r="AB62" s="8">
        <f>IF(Data!AB62&lt;=QUARTILE(Data!AB$4:AB$153,1),1,IF(Data!AB62&lt;=MEDIAN(Data!AB$4:AB$153),2,IF(Data!AB62&lt;=QUARTILE(Data!AB$4:AB$153,3),3,4)))</f>
        <v>1</v>
      </c>
      <c r="AC62" s="8">
        <f>IF(Data!AC62&lt;=QUARTILE(Data!AC$4:AC$153,1),1,IF(Data!AC62&lt;=MEDIAN(Data!AC$4:AC$153),2,IF(Data!AC62&lt;=QUARTILE(Data!AC$4:AC$153,3),3,4)))</f>
        <v>1</v>
      </c>
      <c r="AD62" s="8">
        <f>IF(Data!AD62&lt;=QUARTILE(Data!AD$4:AD$153,1),1,IF(Data!AD62&lt;=MEDIAN(Data!AD$4:AD$153),2,IF(Data!AD62&lt;=QUARTILE(Data!AD$4:AD$153,3),3,4)))</f>
        <v>3</v>
      </c>
      <c r="AE62" s="8">
        <f>IF(Data!AE62&lt;=QUARTILE(Data!AE$4:AE$153,1),1,IF(Data!AE62&lt;=MEDIAN(Data!AE$4:AE$153),2,IF(Data!AE62&lt;=QUARTILE(Data!AE$4:AE$153,3),3,4)))</f>
        <v>3</v>
      </c>
      <c r="AF62" s="8">
        <f>IF(Data!AF62&lt;=QUARTILE(Data!AF$4:AF$153,1),1,IF(Data!AF62&lt;=MEDIAN(Data!AF$4:AF$153),2,IF(Data!AF62&lt;=QUARTILE(Data!AF$4:AF$153,3),3,4)))</f>
        <v>4</v>
      </c>
      <c r="AG62" s="8">
        <f>IF(Data!AG62&lt;=QUARTILE(Data!AG$4:AG$153,1),1,IF(Data!AG62&lt;=MEDIAN(Data!AG$4:AG$153),2,IF(Data!AG62&lt;=QUARTILE(Data!AG$4:AG$153,3),3,4)))</f>
        <v>3</v>
      </c>
      <c r="AH62" s="9">
        <f>IF(Data!AH62&lt;=QUARTILE(Data!AH$4:AH$153,1),1,IF(Data!AH62&lt;=MEDIAN(Data!AH$4:AH$153),2,IF(Data!AH62&lt;=QUARTILE(Data!AH$4:AH$153,3),3,4)))</f>
        <v>3</v>
      </c>
    </row>
    <row r="63" spans="1:34" ht="15.75" thickBot="1" x14ac:dyDescent="0.3">
      <c r="A63" s="10" t="s">
        <v>26</v>
      </c>
      <c r="B63" s="15" t="s">
        <v>57</v>
      </c>
      <c r="C63" s="10">
        <v>43</v>
      </c>
      <c r="D63" s="11">
        <v>39</v>
      </c>
      <c r="E63" s="43" t="s">
        <v>58</v>
      </c>
      <c r="F63" s="12">
        <v>-0.61</v>
      </c>
      <c r="G63" s="10">
        <f>IF(Data!G63&lt;=QUARTILE(Data!G$4:G$153,1),1,IF(Data!G63&lt;=MEDIAN(Data!G$4:G$153),2,IF(Data!G63&lt;=QUARTILE(Data!G$4:G$153,3),3,4)))</f>
        <v>2</v>
      </c>
      <c r="H63" s="11">
        <f>IF(Data!H63&lt;=QUARTILE(Data!H$4:H$153,1),1,IF(Data!H63&lt;=MEDIAN(Data!H$4:H$153),2,IF(Data!H63&lt;=QUARTILE(Data!H$4:H$153,3),3,4)))</f>
        <v>3</v>
      </c>
      <c r="I63" s="11">
        <f>IF(Data!I63&lt;=QUARTILE(Data!I$4:I$153,1),1,IF(Data!I63&lt;=MEDIAN(Data!I$4:I$153),2,IF(Data!I63&lt;=QUARTILE(Data!I$4:I$153,3),3,4)))</f>
        <v>4</v>
      </c>
      <c r="J63" s="11">
        <f>IF(Data!J63&lt;=QUARTILE(Data!J$4:J$153,1),1,IF(Data!J63&lt;=MEDIAN(Data!J$4:J$153),2,IF(Data!J63&lt;=QUARTILE(Data!J$4:J$153,3),3,4)))</f>
        <v>4</v>
      </c>
      <c r="K63" s="11">
        <f>IF(Data!K63&lt;=QUARTILE(Data!K$4:K$153,1),1,IF(Data!K63&lt;=MEDIAN(Data!K$4:K$153),2,IF(Data!K63&lt;=QUARTILE(Data!K$4:K$153,3),3,4)))</f>
        <v>2</v>
      </c>
      <c r="L63" s="11">
        <f>IF(Data!L63&lt;=QUARTILE(Data!L$4:L$153,1),1,IF(Data!L63&lt;=MEDIAN(Data!L$4:L$153),2,IF(Data!L63&lt;=QUARTILE(Data!L$4:L$153,3),3,4)))</f>
        <v>2</v>
      </c>
      <c r="M63" s="11">
        <f>IF(Data!M63&lt;=QUARTILE(Data!M$4:M$153,1),1,IF(Data!M63&lt;=MEDIAN(Data!M$4:M$153),2,IF(Data!M63&lt;=QUARTILE(Data!M$4:M$153,3),3,4)))</f>
        <v>4</v>
      </c>
      <c r="N63" s="11">
        <f>IF(Data!N63&lt;=QUARTILE(Data!N$4:N$153,1),1,IF(Data!N63&lt;=MEDIAN(Data!N$4:N$153),2,IF(Data!N63&lt;=QUARTILE(Data!N$4:N$153,3),3,4)))</f>
        <v>2</v>
      </c>
      <c r="O63" s="11">
        <f>IF(Data!O63&lt;=QUARTILE(Data!O$4:O$153,1),1,IF(Data!O63&lt;=MEDIAN(Data!O$4:O$153),2,IF(Data!O63&lt;=QUARTILE(Data!O$4:O$153,3),3,4)))</f>
        <v>1</v>
      </c>
      <c r="P63" s="11">
        <f>IF(Data!P63&lt;=QUARTILE(Data!P$4:P$153,1),1,IF(Data!P63&lt;=MEDIAN(Data!P$4:P$153),2,IF(Data!P63&lt;=QUARTILE(Data!P$4:P$153,3),3,4)))</f>
        <v>4</v>
      </c>
      <c r="Q63" s="11">
        <f>IF(Data!Q63&lt;=QUARTILE(Data!Q$4:Q$153,1),1,IF(Data!Q63&lt;=MEDIAN(Data!Q$4:Q$153),2,IF(Data!Q63&lt;=QUARTILE(Data!Q$4:Q$153,3),3,4)))</f>
        <v>3</v>
      </c>
      <c r="R63" s="11">
        <f>IF(Data!R63&lt;=QUARTILE(Data!R$4:R$153,1),1,IF(Data!R63&lt;=MEDIAN(Data!R$4:R$153),2,IF(Data!R63&lt;=QUARTILE(Data!R$4:R$153,3),3,4)))</f>
        <v>1</v>
      </c>
      <c r="S63" s="11">
        <f>IF(Data!S63&lt;=QUARTILE(Data!S$4:S$153,1),1,IF(Data!S63&lt;=MEDIAN(Data!S$4:S$153),2,IF(Data!S63&lt;=QUARTILE(Data!S$4:S$153,3),3,4)))</f>
        <v>1</v>
      </c>
      <c r="T63" s="12">
        <f>IF(Data!T63&lt;=QUARTILE(Data!T$4:T$153,1),1,IF(Data!T63&lt;=MEDIAN(Data!T$4:T$153),2,IF(Data!T63&lt;=QUARTILE(Data!T$4:T$153,3),3,4)))</f>
        <v>3</v>
      </c>
      <c r="U63" s="10">
        <f>IF(Data!U63&lt;=QUARTILE(Data!U$4:U$153,1),1,IF(Data!U63&lt;=MEDIAN(Data!U$4:U$153),2,IF(Data!U63&lt;=QUARTILE(Data!U$4:U$153,3),3,4)))</f>
        <v>3</v>
      </c>
      <c r="V63" s="11">
        <f>IF(Data!V63&lt;=QUARTILE(Data!V$4:V$153,1),1,IF(Data!V63&lt;=MEDIAN(Data!V$4:V$153),2,IF(Data!V63&lt;=QUARTILE(Data!V$4:V$153,3),3,4)))</f>
        <v>2</v>
      </c>
      <c r="W63" s="11">
        <f>IF(Data!W63&lt;=QUARTILE(Data!W$4:W$153,1),1,IF(Data!W63&lt;=MEDIAN(Data!W$4:W$153),2,IF(Data!W63&lt;=QUARTILE(Data!W$4:W$153,3),3,4)))</f>
        <v>4</v>
      </c>
      <c r="X63" s="11">
        <f>IF(Data!X63&lt;=QUARTILE(Data!X$4:X$153,1),1,IF(Data!X63&lt;=MEDIAN(Data!X$4:X$153),2,IF(Data!X63&lt;=QUARTILE(Data!X$4:X$153,3),3,4)))</f>
        <v>4</v>
      </c>
      <c r="Y63" s="11">
        <f>IF(Data!Y63&lt;=QUARTILE(Data!Y$4:Y$153,1),1,IF(Data!Y63&lt;=MEDIAN(Data!Y$4:Y$153),2,IF(Data!Y63&lt;=QUARTILE(Data!Y$4:Y$153,3),3,4)))</f>
        <v>1</v>
      </c>
      <c r="Z63" s="11">
        <f>IF(Data!Z63&lt;=QUARTILE(Data!Z$4:Z$153,1),1,IF(Data!Z63&lt;=MEDIAN(Data!Z$4:Z$153),2,IF(Data!Z63&lt;=QUARTILE(Data!Z$4:Z$153,3),3,4)))</f>
        <v>1</v>
      </c>
      <c r="AA63" s="11">
        <f>IF(Data!AA63&lt;=QUARTILE(Data!AA$4:AA$153,1),1,IF(Data!AA63&lt;=MEDIAN(Data!AA$4:AA$153),2,IF(Data!AA63&lt;=QUARTILE(Data!AA$4:AA$153,3),3,4)))</f>
        <v>2</v>
      </c>
      <c r="AB63" s="11">
        <f>IF(Data!AB63&lt;=QUARTILE(Data!AB$4:AB$153,1),1,IF(Data!AB63&lt;=MEDIAN(Data!AB$4:AB$153),2,IF(Data!AB63&lt;=QUARTILE(Data!AB$4:AB$153,3),3,4)))</f>
        <v>3</v>
      </c>
      <c r="AC63" s="11">
        <f>IF(Data!AC63&lt;=QUARTILE(Data!AC$4:AC$153,1),1,IF(Data!AC63&lt;=MEDIAN(Data!AC$4:AC$153),2,IF(Data!AC63&lt;=QUARTILE(Data!AC$4:AC$153,3),3,4)))</f>
        <v>4</v>
      </c>
      <c r="AD63" s="11">
        <f>IF(Data!AD63&lt;=QUARTILE(Data!AD$4:AD$153,1),1,IF(Data!AD63&lt;=MEDIAN(Data!AD$4:AD$153),2,IF(Data!AD63&lt;=QUARTILE(Data!AD$4:AD$153,3),3,4)))</f>
        <v>1</v>
      </c>
      <c r="AE63" s="11">
        <f>IF(Data!AE63&lt;=QUARTILE(Data!AE$4:AE$153,1),1,IF(Data!AE63&lt;=MEDIAN(Data!AE$4:AE$153),2,IF(Data!AE63&lt;=QUARTILE(Data!AE$4:AE$153,3),3,4)))</f>
        <v>2</v>
      </c>
      <c r="AF63" s="11">
        <f>IF(Data!AF63&lt;=QUARTILE(Data!AF$4:AF$153,1),1,IF(Data!AF63&lt;=MEDIAN(Data!AF$4:AF$153),2,IF(Data!AF63&lt;=QUARTILE(Data!AF$4:AF$153,3),3,4)))</f>
        <v>2</v>
      </c>
      <c r="AG63" s="11">
        <f>IF(Data!AG63&lt;=QUARTILE(Data!AG$4:AG$153,1),1,IF(Data!AG63&lt;=MEDIAN(Data!AG$4:AG$153),2,IF(Data!AG63&lt;=QUARTILE(Data!AG$4:AG$153,3),3,4)))</f>
        <v>1</v>
      </c>
      <c r="AH63" s="12">
        <f>IF(Data!AH63&lt;=QUARTILE(Data!AH$4:AH$153,1),1,IF(Data!AH63&lt;=MEDIAN(Data!AH$4:AH$153),2,IF(Data!AH63&lt;=QUARTILE(Data!AH$4:AH$153,3),3,4)))</f>
        <v>3</v>
      </c>
    </row>
    <row r="64" spans="1:34" x14ac:dyDescent="0.25">
      <c r="A64" s="4" t="s">
        <v>60</v>
      </c>
      <c r="B64" s="13" t="s">
        <v>64</v>
      </c>
      <c r="C64" s="4">
        <v>30</v>
      </c>
      <c r="D64" s="5">
        <v>52</v>
      </c>
      <c r="E64" s="41" t="s">
        <v>59</v>
      </c>
      <c r="F64" s="6">
        <v>-4.8600000000000003</v>
      </c>
      <c r="G64" s="4">
        <f>IF(Data!G64&lt;=QUARTILE(Data!G$4:G$153,1),1,IF(Data!G64&lt;=MEDIAN(Data!G$4:G$153),2,IF(Data!G64&lt;=QUARTILE(Data!G$4:G$153,3),3,4)))</f>
        <v>1</v>
      </c>
      <c r="H64" s="5">
        <f>IF(Data!H64&lt;=QUARTILE(Data!H$4:H$153,1),1,IF(Data!H64&lt;=MEDIAN(Data!H$4:H$153),2,IF(Data!H64&lt;=QUARTILE(Data!H$4:H$153,3),3,4)))</f>
        <v>1</v>
      </c>
      <c r="I64" s="5">
        <f>IF(Data!I64&lt;=QUARTILE(Data!I$4:I$153,1),1,IF(Data!I64&lt;=MEDIAN(Data!I$4:I$153),2,IF(Data!I64&lt;=QUARTILE(Data!I$4:I$153,3),3,4)))</f>
        <v>1</v>
      </c>
      <c r="J64" s="5">
        <f>IF(Data!J64&lt;=QUARTILE(Data!J$4:J$153,1),1,IF(Data!J64&lt;=MEDIAN(Data!J$4:J$153),2,IF(Data!J64&lt;=QUARTILE(Data!J$4:J$153,3),3,4)))</f>
        <v>1</v>
      </c>
      <c r="K64" s="5">
        <f>IF(Data!K64&lt;=QUARTILE(Data!K$4:K$153,1),1,IF(Data!K64&lt;=MEDIAN(Data!K$4:K$153),2,IF(Data!K64&lt;=QUARTILE(Data!K$4:K$153,3),3,4)))</f>
        <v>3</v>
      </c>
      <c r="L64" s="5">
        <f>IF(Data!L64&lt;=QUARTILE(Data!L$4:L$153,1),1,IF(Data!L64&lt;=MEDIAN(Data!L$4:L$153),2,IF(Data!L64&lt;=QUARTILE(Data!L$4:L$153,3),3,4)))</f>
        <v>3</v>
      </c>
      <c r="M64" s="5">
        <f>IF(Data!M64&lt;=QUARTILE(Data!M$4:M$153,1),1,IF(Data!M64&lt;=MEDIAN(Data!M$4:M$153),2,IF(Data!M64&lt;=QUARTILE(Data!M$4:M$153,3),3,4)))</f>
        <v>3</v>
      </c>
      <c r="N64" s="5">
        <f>IF(Data!N64&lt;=QUARTILE(Data!N$4:N$153,1),1,IF(Data!N64&lt;=MEDIAN(Data!N$4:N$153),2,IF(Data!N64&lt;=QUARTILE(Data!N$4:N$153,3),3,4)))</f>
        <v>1</v>
      </c>
      <c r="O64" s="5">
        <f>IF(Data!O64&lt;=QUARTILE(Data!O$4:O$153,1),1,IF(Data!O64&lt;=MEDIAN(Data!O$4:O$153),2,IF(Data!O64&lt;=QUARTILE(Data!O$4:O$153,3),3,4)))</f>
        <v>1</v>
      </c>
      <c r="P64" s="5">
        <f>IF(Data!P64&lt;=QUARTILE(Data!P$4:P$153,1),1,IF(Data!P64&lt;=MEDIAN(Data!P$4:P$153),2,IF(Data!P64&lt;=QUARTILE(Data!P$4:P$153,3),3,4)))</f>
        <v>3</v>
      </c>
      <c r="Q64" s="5">
        <f>IF(Data!Q64&lt;=QUARTILE(Data!Q$4:Q$153,1),1,IF(Data!Q64&lt;=MEDIAN(Data!Q$4:Q$153),2,IF(Data!Q64&lt;=QUARTILE(Data!Q$4:Q$153,3),3,4)))</f>
        <v>4</v>
      </c>
      <c r="R64" s="5">
        <f>IF(Data!R64&lt;=QUARTILE(Data!R$4:R$153,1),1,IF(Data!R64&lt;=MEDIAN(Data!R$4:R$153),2,IF(Data!R64&lt;=QUARTILE(Data!R$4:R$153,3),3,4)))</f>
        <v>4</v>
      </c>
      <c r="S64" s="5">
        <f>IF(Data!S64&lt;=QUARTILE(Data!S$4:S$153,1),1,IF(Data!S64&lt;=MEDIAN(Data!S$4:S$153),2,IF(Data!S64&lt;=QUARTILE(Data!S$4:S$153,3),3,4)))</f>
        <v>4</v>
      </c>
      <c r="T64" s="6">
        <f>IF(Data!T64&lt;=QUARTILE(Data!T$4:T$153,1),1,IF(Data!T64&lt;=MEDIAN(Data!T$4:T$153),2,IF(Data!T64&lt;=QUARTILE(Data!T$4:T$153,3),3,4)))</f>
        <v>1</v>
      </c>
      <c r="U64" s="4">
        <f>IF(Data!U64&lt;=QUARTILE(Data!U$4:U$153,1),1,IF(Data!U64&lt;=MEDIAN(Data!U$4:U$153),2,IF(Data!U64&lt;=QUARTILE(Data!U$4:U$153,3),3,4)))</f>
        <v>2</v>
      </c>
      <c r="V64" s="5">
        <f>IF(Data!V64&lt;=QUARTILE(Data!V$4:V$153,1),1,IF(Data!V64&lt;=MEDIAN(Data!V$4:V$153),2,IF(Data!V64&lt;=QUARTILE(Data!V$4:V$153,3),3,4)))</f>
        <v>1</v>
      </c>
      <c r="W64" s="5">
        <f>IF(Data!W64&lt;=QUARTILE(Data!W$4:W$153,1),1,IF(Data!W64&lt;=MEDIAN(Data!W$4:W$153),2,IF(Data!W64&lt;=QUARTILE(Data!W$4:W$153,3),3,4)))</f>
        <v>2</v>
      </c>
      <c r="X64" s="5">
        <f>IF(Data!X64&lt;=QUARTILE(Data!X$4:X$153,1),1,IF(Data!X64&lt;=MEDIAN(Data!X$4:X$153),2,IF(Data!X64&lt;=QUARTILE(Data!X$4:X$153,3),3,4)))</f>
        <v>1</v>
      </c>
      <c r="Y64" s="5">
        <f>IF(Data!Y64&lt;=QUARTILE(Data!Y$4:Y$153,1),1,IF(Data!Y64&lt;=MEDIAN(Data!Y$4:Y$153),2,IF(Data!Y64&lt;=QUARTILE(Data!Y$4:Y$153,3),3,4)))</f>
        <v>4</v>
      </c>
      <c r="Z64" s="5">
        <f>IF(Data!Z64&lt;=QUARTILE(Data!Z$4:Z$153,1),1,IF(Data!Z64&lt;=MEDIAN(Data!Z$4:Z$153),2,IF(Data!Z64&lt;=QUARTILE(Data!Z$4:Z$153,3),3,4)))</f>
        <v>4</v>
      </c>
      <c r="AA64" s="5">
        <f>IF(Data!AA64&lt;=QUARTILE(Data!AA$4:AA$153,1),1,IF(Data!AA64&lt;=MEDIAN(Data!AA$4:AA$153),2,IF(Data!AA64&lt;=QUARTILE(Data!AA$4:AA$153,3),3,4)))</f>
        <v>3</v>
      </c>
      <c r="AB64" s="5">
        <f>IF(Data!AB64&lt;=QUARTILE(Data!AB$4:AB$153,1),1,IF(Data!AB64&lt;=MEDIAN(Data!AB$4:AB$153),2,IF(Data!AB64&lt;=QUARTILE(Data!AB$4:AB$153,3),3,4)))</f>
        <v>1</v>
      </c>
      <c r="AC64" s="5">
        <f>IF(Data!AC64&lt;=QUARTILE(Data!AC$4:AC$153,1),1,IF(Data!AC64&lt;=MEDIAN(Data!AC$4:AC$153),2,IF(Data!AC64&lt;=QUARTILE(Data!AC$4:AC$153,3),3,4)))</f>
        <v>2</v>
      </c>
      <c r="AD64" s="5">
        <f>IF(Data!AD64&lt;=QUARTILE(Data!AD$4:AD$153,1),1,IF(Data!AD64&lt;=MEDIAN(Data!AD$4:AD$153),2,IF(Data!AD64&lt;=QUARTILE(Data!AD$4:AD$153,3),3,4)))</f>
        <v>2</v>
      </c>
      <c r="AE64" s="5">
        <f>IF(Data!AE64&lt;=QUARTILE(Data!AE$4:AE$153,1),1,IF(Data!AE64&lt;=MEDIAN(Data!AE$4:AE$153),2,IF(Data!AE64&lt;=QUARTILE(Data!AE$4:AE$153,3),3,4)))</f>
        <v>3</v>
      </c>
      <c r="AF64" s="5">
        <f>IF(Data!AF64&lt;=QUARTILE(Data!AF$4:AF$153,1),1,IF(Data!AF64&lt;=MEDIAN(Data!AF$4:AF$153),2,IF(Data!AF64&lt;=QUARTILE(Data!AF$4:AF$153,3),3,4)))</f>
        <v>3</v>
      </c>
      <c r="AG64" s="5">
        <f>IF(Data!AG64&lt;=QUARTILE(Data!AG$4:AG$153,1),1,IF(Data!AG64&lt;=MEDIAN(Data!AG$4:AG$153),2,IF(Data!AG64&lt;=QUARTILE(Data!AG$4:AG$153,3),3,4)))</f>
        <v>3</v>
      </c>
      <c r="AH64" s="6">
        <f>IF(Data!AH64&lt;=QUARTILE(Data!AH$4:AH$153,1),1,IF(Data!AH64&lt;=MEDIAN(Data!AH$4:AH$153),2,IF(Data!AH64&lt;=QUARTILE(Data!AH$4:AH$153,3),3,4)))</f>
        <v>2</v>
      </c>
    </row>
    <row r="65" spans="1:34" x14ac:dyDescent="0.25">
      <c r="A65" s="7" t="s">
        <v>61</v>
      </c>
      <c r="B65" s="14" t="s">
        <v>64</v>
      </c>
      <c r="C65" s="7">
        <v>24</v>
      </c>
      <c r="D65" s="8">
        <v>58</v>
      </c>
      <c r="E65" s="42" t="s">
        <v>59</v>
      </c>
      <c r="F65" s="9">
        <v>-3.71</v>
      </c>
      <c r="G65" s="7">
        <f>IF(Data!G65&lt;=QUARTILE(Data!G$4:G$153,1),1,IF(Data!G65&lt;=MEDIAN(Data!G$4:G$153),2,IF(Data!G65&lt;=QUARTILE(Data!G$4:G$153,3),3,4)))</f>
        <v>1</v>
      </c>
      <c r="H65" s="8">
        <f>IF(Data!H65&lt;=QUARTILE(Data!H$4:H$153,1),1,IF(Data!H65&lt;=MEDIAN(Data!H$4:H$153),2,IF(Data!H65&lt;=QUARTILE(Data!H$4:H$153,3),3,4)))</f>
        <v>2</v>
      </c>
      <c r="I65" s="8">
        <f>IF(Data!I65&lt;=QUARTILE(Data!I$4:I$153,1),1,IF(Data!I65&lt;=MEDIAN(Data!I$4:I$153),2,IF(Data!I65&lt;=QUARTILE(Data!I$4:I$153,3),3,4)))</f>
        <v>2</v>
      </c>
      <c r="J65" s="8">
        <f>IF(Data!J65&lt;=QUARTILE(Data!J$4:J$153,1),1,IF(Data!J65&lt;=MEDIAN(Data!J$4:J$153),2,IF(Data!J65&lt;=QUARTILE(Data!J$4:J$153,3),3,4)))</f>
        <v>2</v>
      </c>
      <c r="K65" s="8">
        <f>IF(Data!K65&lt;=QUARTILE(Data!K$4:K$153,1),1,IF(Data!K65&lt;=MEDIAN(Data!K$4:K$153),2,IF(Data!K65&lt;=QUARTILE(Data!K$4:K$153,3),3,4)))</f>
        <v>3</v>
      </c>
      <c r="L65" s="8">
        <f>IF(Data!L65&lt;=QUARTILE(Data!L$4:L$153,1),1,IF(Data!L65&lt;=MEDIAN(Data!L$4:L$153),2,IF(Data!L65&lt;=QUARTILE(Data!L$4:L$153,3),3,4)))</f>
        <v>3</v>
      </c>
      <c r="M65" s="8">
        <f>IF(Data!M65&lt;=QUARTILE(Data!M$4:M$153,1),1,IF(Data!M65&lt;=MEDIAN(Data!M$4:M$153),2,IF(Data!M65&lt;=QUARTILE(Data!M$4:M$153,3),3,4)))</f>
        <v>2</v>
      </c>
      <c r="N65" s="8">
        <f>IF(Data!N65&lt;=QUARTILE(Data!N$4:N$153,1),1,IF(Data!N65&lt;=MEDIAN(Data!N$4:N$153),2,IF(Data!N65&lt;=QUARTILE(Data!N$4:N$153,3),3,4)))</f>
        <v>2</v>
      </c>
      <c r="O65" s="8">
        <f>IF(Data!O65&lt;=QUARTILE(Data!O$4:O$153,1),1,IF(Data!O65&lt;=MEDIAN(Data!O$4:O$153),2,IF(Data!O65&lt;=QUARTILE(Data!O$4:O$153,3),3,4)))</f>
        <v>1</v>
      </c>
      <c r="P65" s="8">
        <f>IF(Data!P65&lt;=QUARTILE(Data!P$4:P$153,1),1,IF(Data!P65&lt;=MEDIAN(Data!P$4:P$153),2,IF(Data!P65&lt;=QUARTILE(Data!P$4:P$153,3),3,4)))</f>
        <v>2</v>
      </c>
      <c r="Q65" s="8">
        <f>IF(Data!Q65&lt;=QUARTILE(Data!Q$4:Q$153,1),1,IF(Data!Q65&lt;=MEDIAN(Data!Q$4:Q$153),2,IF(Data!Q65&lt;=QUARTILE(Data!Q$4:Q$153,3),3,4)))</f>
        <v>2</v>
      </c>
      <c r="R65" s="8">
        <f>IF(Data!R65&lt;=QUARTILE(Data!R$4:R$153,1),1,IF(Data!R65&lt;=MEDIAN(Data!R$4:R$153),2,IF(Data!R65&lt;=QUARTILE(Data!R$4:R$153,3),3,4)))</f>
        <v>4</v>
      </c>
      <c r="S65" s="8">
        <f>IF(Data!S65&lt;=QUARTILE(Data!S$4:S$153,1),1,IF(Data!S65&lt;=MEDIAN(Data!S$4:S$153),2,IF(Data!S65&lt;=QUARTILE(Data!S$4:S$153,3),3,4)))</f>
        <v>4</v>
      </c>
      <c r="T65" s="9">
        <f>IF(Data!T65&lt;=QUARTILE(Data!T$4:T$153,1),1,IF(Data!T65&lt;=MEDIAN(Data!T$4:T$153),2,IF(Data!T65&lt;=QUARTILE(Data!T$4:T$153,3),3,4)))</f>
        <v>2</v>
      </c>
      <c r="U65" s="7">
        <f>IF(Data!U65&lt;=QUARTILE(Data!U$4:U$153,1),1,IF(Data!U65&lt;=MEDIAN(Data!U$4:U$153),2,IF(Data!U65&lt;=QUARTILE(Data!U$4:U$153,3),3,4)))</f>
        <v>2</v>
      </c>
      <c r="V65" s="8">
        <f>IF(Data!V65&lt;=QUARTILE(Data!V$4:V$153,1),1,IF(Data!V65&lt;=MEDIAN(Data!V$4:V$153),2,IF(Data!V65&lt;=QUARTILE(Data!V$4:V$153,3),3,4)))</f>
        <v>1</v>
      </c>
      <c r="W65" s="8">
        <f>IF(Data!W65&lt;=QUARTILE(Data!W$4:W$153,1),1,IF(Data!W65&lt;=MEDIAN(Data!W$4:W$153),2,IF(Data!W65&lt;=QUARTILE(Data!W$4:W$153,3),3,4)))</f>
        <v>1</v>
      </c>
      <c r="X65" s="8">
        <f>IF(Data!X65&lt;=QUARTILE(Data!X$4:X$153,1),1,IF(Data!X65&lt;=MEDIAN(Data!X$4:X$153),2,IF(Data!X65&lt;=QUARTILE(Data!X$4:X$153,3),3,4)))</f>
        <v>1</v>
      </c>
      <c r="Y65" s="8">
        <f>IF(Data!Y65&lt;=QUARTILE(Data!Y$4:Y$153,1),1,IF(Data!Y65&lt;=MEDIAN(Data!Y$4:Y$153),2,IF(Data!Y65&lt;=QUARTILE(Data!Y$4:Y$153,3),3,4)))</f>
        <v>4</v>
      </c>
      <c r="Z65" s="8">
        <f>IF(Data!Z65&lt;=QUARTILE(Data!Z$4:Z$153,1),1,IF(Data!Z65&lt;=MEDIAN(Data!Z$4:Z$153),2,IF(Data!Z65&lt;=QUARTILE(Data!Z$4:Z$153,3),3,4)))</f>
        <v>4</v>
      </c>
      <c r="AA65" s="8">
        <f>IF(Data!AA65&lt;=QUARTILE(Data!AA$4:AA$153,1),1,IF(Data!AA65&lt;=MEDIAN(Data!AA$4:AA$153),2,IF(Data!AA65&lt;=QUARTILE(Data!AA$4:AA$153,3),3,4)))</f>
        <v>1</v>
      </c>
      <c r="AB65" s="8">
        <f>IF(Data!AB65&lt;=QUARTILE(Data!AB$4:AB$153,1),1,IF(Data!AB65&lt;=MEDIAN(Data!AB$4:AB$153),2,IF(Data!AB65&lt;=QUARTILE(Data!AB$4:AB$153,3),3,4)))</f>
        <v>3</v>
      </c>
      <c r="AC65" s="8">
        <f>IF(Data!AC65&lt;=QUARTILE(Data!AC$4:AC$153,1),1,IF(Data!AC65&lt;=MEDIAN(Data!AC$4:AC$153),2,IF(Data!AC65&lt;=QUARTILE(Data!AC$4:AC$153,3),3,4)))</f>
        <v>3</v>
      </c>
      <c r="AD65" s="8">
        <f>IF(Data!AD65&lt;=QUARTILE(Data!AD$4:AD$153,1),1,IF(Data!AD65&lt;=MEDIAN(Data!AD$4:AD$153),2,IF(Data!AD65&lt;=QUARTILE(Data!AD$4:AD$153,3),3,4)))</f>
        <v>3</v>
      </c>
      <c r="AE65" s="8">
        <f>IF(Data!AE65&lt;=QUARTILE(Data!AE$4:AE$153,1),1,IF(Data!AE65&lt;=MEDIAN(Data!AE$4:AE$153),2,IF(Data!AE65&lt;=QUARTILE(Data!AE$4:AE$153,3),3,4)))</f>
        <v>4</v>
      </c>
      <c r="AF65" s="8">
        <f>IF(Data!AF65&lt;=QUARTILE(Data!AF$4:AF$153,1),1,IF(Data!AF65&lt;=MEDIAN(Data!AF$4:AF$153),2,IF(Data!AF65&lt;=QUARTILE(Data!AF$4:AF$153,3),3,4)))</f>
        <v>3</v>
      </c>
      <c r="AG65" s="8">
        <f>IF(Data!AG65&lt;=QUARTILE(Data!AG$4:AG$153,1),1,IF(Data!AG65&lt;=MEDIAN(Data!AG$4:AG$153),2,IF(Data!AG65&lt;=QUARTILE(Data!AG$4:AG$153,3),3,4)))</f>
        <v>2</v>
      </c>
      <c r="AH65" s="9">
        <f>IF(Data!AH65&lt;=QUARTILE(Data!AH$4:AH$153,1),1,IF(Data!AH65&lt;=MEDIAN(Data!AH$4:AH$153),2,IF(Data!AH65&lt;=QUARTILE(Data!AH$4:AH$153,3),3,4)))</f>
        <v>3</v>
      </c>
    </row>
    <row r="66" spans="1:34" x14ac:dyDescent="0.25">
      <c r="A66" s="7" t="s">
        <v>29</v>
      </c>
      <c r="B66" s="14" t="s">
        <v>64</v>
      </c>
      <c r="C66" s="7">
        <v>33</v>
      </c>
      <c r="D66" s="8">
        <v>49</v>
      </c>
      <c r="E66" s="42" t="s">
        <v>59</v>
      </c>
      <c r="F66" s="9">
        <v>-3.97</v>
      </c>
      <c r="G66" s="7">
        <f>IF(Data!G66&lt;=QUARTILE(Data!G$4:G$153,1),1,IF(Data!G66&lt;=MEDIAN(Data!G$4:G$153),2,IF(Data!G66&lt;=QUARTILE(Data!G$4:G$153,3),3,4)))</f>
        <v>2</v>
      </c>
      <c r="H66" s="8">
        <f>IF(Data!H66&lt;=QUARTILE(Data!H$4:H$153,1),1,IF(Data!H66&lt;=MEDIAN(Data!H$4:H$153),2,IF(Data!H66&lt;=QUARTILE(Data!H$4:H$153,3),3,4)))</f>
        <v>3</v>
      </c>
      <c r="I66" s="8">
        <f>IF(Data!I66&lt;=QUARTILE(Data!I$4:I$153,1),1,IF(Data!I66&lt;=MEDIAN(Data!I$4:I$153),2,IF(Data!I66&lt;=QUARTILE(Data!I$4:I$153,3),3,4)))</f>
        <v>2</v>
      </c>
      <c r="J66" s="8">
        <f>IF(Data!J66&lt;=QUARTILE(Data!J$4:J$153,1),1,IF(Data!J66&lt;=MEDIAN(Data!J$4:J$153),2,IF(Data!J66&lt;=QUARTILE(Data!J$4:J$153,3),3,4)))</f>
        <v>2</v>
      </c>
      <c r="K66" s="8">
        <f>IF(Data!K66&lt;=QUARTILE(Data!K$4:K$153,1),1,IF(Data!K66&lt;=MEDIAN(Data!K$4:K$153),2,IF(Data!K66&lt;=QUARTILE(Data!K$4:K$153,3),3,4)))</f>
        <v>2</v>
      </c>
      <c r="L66" s="8">
        <f>IF(Data!L66&lt;=QUARTILE(Data!L$4:L$153,1),1,IF(Data!L66&lt;=MEDIAN(Data!L$4:L$153),2,IF(Data!L66&lt;=QUARTILE(Data!L$4:L$153,3),3,4)))</f>
        <v>3</v>
      </c>
      <c r="M66" s="8">
        <f>IF(Data!M66&lt;=QUARTILE(Data!M$4:M$153,1),1,IF(Data!M66&lt;=MEDIAN(Data!M$4:M$153),2,IF(Data!M66&lt;=QUARTILE(Data!M$4:M$153,3),3,4)))</f>
        <v>2</v>
      </c>
      <c r="N66" s="8">
        <f>IF(Data!N66&lt;=QUARTILE(Data!N$4:N$153,1),1,IF(Data!N66&lt;=MEDIAN(Data!N$4:N$153),2,IF(Data!N66&lt;=QUARTILE(Data!N$4:N$153,3),3,4)))</f>
        <v>1</v>
      </c>
      <c r="O66" s="8">
        <f>IF(Data!O66&lt;=QUARTILE(Data!O$4:O$153,1),1,IF(Data!O66&lt;=MEDIAN(Data!O$4:O$153),2,IF(Data!O66&lt;=QUARTILE(Data!O$4:O$153,3),3,4)))</f>
        <v>4</v>
      </c>
      <c r="P66" s="8">
        <f>IF(Data!P66&lt;=QUARTILE(Data!P$4:P$153,1),1,IF(Data!P66&lt;=MEDIAN(Data!P$4:P$153),2,IF(Data!P66&lt;=QUARTILE(Data!P$4:P$153,3),3,4)))</f>
        <v>4</v>
      </c>
      <c r="Q66" s="8">
        <f>IF(Data!Q66&lt;=QUARTILE(Data!Q$4:Q$153,1),1,IF(Data!Q66&lt;=MEDIAN(Data!Q$4:Q$153),2,IF(Data!Q66&lt;=QUARTILE(Data!Q$4:Q$153,3),3,4)))</f>
        <v>2</v>
      </c>
      <c r="R66" s="8">
        <f>IF(Data!R66&lt;=QUARTILE(Data!R$4:R$153,1),1,IF(Data!R66&lt;=MEDIAN(Data!R$4:R$153),2,IF(Data!R66&lt;=QUARTILE(Data!R$4:R$153,3),3,4)))</f>
        <v>3</v>
      </c>
      <c r="S66" s="8">
        <f>IF(Data!S66&lt;=QUARTILE(Data!S$4:S$153,1),1,IF(Data!S66&lt;=MEDIAN(Data!S$4:S$153),2,IF(Data!S66&lt;=QUARTILE(Data!S$4:S$153,3),3,4)))</f>
        <v>4</v>
      </c>
      <c r="T66" s="9">
        <f>IF(Data!T66&lt;=QUARTILE(Data!T$4:T$153,1),1,IF(Data!T66&lt;=MEDIAN(Data!T$4:T$153),2,IF(Data!T66&lt;=QUARTILE(Data!T$4:T$153,3),3,4)))</f>
        <v>2</v>
      </c>
      <c r="U66" s="7">
        <f>IF(Data!U66&lt;=QUARTILE(Data!U$4:U$153,1),1,IF(Data!U66&lt;=MEDIAN(Data!U$4:U$153),2,IF(Data!U66&lt;=QUARTILE(Data!U$4:U$153,3),3,4)))</f>
        <v>3</v>
      </c>
      <c r="V66" s="8">
        <f>IF(Data!V66&lt;=QUARTILE(Data!V$4:V$153,1),1,IF(Data!V66&lt;=MEDIAN(Data!V$4:V$153),2,IF(Data!V66&lt;=QUARTILE(Data!V$4:V$153,3),3,4)))</f>
        <v>2</v>
      </c>
      <c r="W66" s="8">
        <f>IF(Data!W66&lt;=QUARTILE(Data!W$4:W$153,1),1,IF(Data!W66&lt;=MEDIAN(Data!W$4:W$153),2,IF(Data!W66&lt;=QUARTILE(Data!W$4:W$153,3),3,4)))</f>
        <v>1</v>
      </c>
      <c r="X66" s="8">
        <f>IF(Data!X66&lt;=QUARTILE(Data!X$4:X$153,1),1,IF(Data!X66&lt;=MEDIAN(Data!X$4:X$153),2,IF(Data!X66&lt;=QUARTILE(Data!X$4:X$153,3),3,4)))</f>
        <v>1</v>
      </c>
      <c r="Y66" s="8">
        <f>IF(Data!Y66&lt;=QUARTILE(Data!Y$4:Y$153,1),1,IF(Data!Y66&lt;=MEDIAN(Data!Y$4:Y$153),2,IF(Data!Y66&lt;=QUARTILE(Data!Y$4:Y$153,3),3,4)))</f>
        <v>4</v>
      </c>
      <c r="Z66" s="8">
        <f>IF(Data!Z66&lt;=QUARTILE(Data!Z$4:Z$153,1),1,IF(Data!Z66&lt;=MEDIAN(Data!Z$4:Z$153),2,IF(Data!Z66&lt;=QUARTILE(Data!Z$4:Z$153,3),3,4)))</f>
        <v>4</v>
      </c>
      <c r="AA66" s="8">
        <f>IF(Data!AA66&lt;=QUARTILE(Data!AA$4:AA$153,1),1,IF(Data!AA66&lt;=MEDIAN(Data!AA$4:AA$153),2,IF(Data!AA66&lt;=QUARTILE(Data!AA$4:AA$153,3),3,4)))</f>
        <v>3</v>
      </c>
      <c r="AB66" s="8">
        <f>IF(Data!AB66&lt;=QUARTILE(Data!AB$4:AB$153,1),1,IF(Data!AB66&lt;=MEDIAN(Data!AB$4:AB$153),2,IF(Data!AB66&lt;=QUARTILE(Data!AB$4:AB$153,3),3,4)))</f>
        <v>4</v>
      </c>
      <c r="AC66" s="8">
        <f>IF(Data!AC66&lt;=QUARTILE(Data!AC$4:AC$153,1),1,IF(Data!AC66&lt;=MEDIAN(Data!AC$4:AC$153),2,IF(Data!AC66&lt;=QUARTILE(Data!AC$4:AC$153,3),3,4)))</f>
        <v>2</v>
      </c>
      <c r="AD66" s="8">
        <f>IF(Data!AD66&lt;=QUARTILE(Data!AD$4:AD$153,1),1,IF(Data!AD66&lt;=MEDIAN(Data!AD$4:AD$153),2,IF(Data!AD66&lt;=QUARTILE(Data!AD$4:AD$153,3),3,4)))</f>
        <v>3</v>
      </c>
      <c r="AE66" s="8">
        <f>IF(Data!AE66&lt;=QUARTILE(Data!AE$4:AE$153,1),1,IF(Data!AE66&lt;=MEDIAN(Data!AE$4:AE$153),2,IF(Data!AE66&lt;=QUARTILE(Data!AE$4:AE$153,3),3,4)))</f>
        <v>4</v>
      </c>
      <c r="AF66" s="8">
        <f>IF(Data!AF66&lt;=QUARTILE(Data!AF$4:AF$153,1),1,IF(Data!AF66&lt;=MEDIAN(Data!AF$4:AF$153),2,IF(Data!AF66&lt;=QUARTILE(Data!AF$4:AF$153,3),3,4)))</f>
        <v>4</v>
      </c>
      <c r="AG66" s="8">
        <f>IF(Data!AG66&lt;=QUARTILE(Data!AG$4:AG$153,1),1,IF(Data!AG66&lt;=MEDIAN(Data!AG$4:AG$153),2,IF(Data!AG66&lt;=QUARTILE(Data!AG$4:AG$153,3),3,4)))</f>
        <v>2</v>
      </c>
      <c r="AH66" s="9">
        <f>IF(Data!AH66&lt;=QUARTILE(Data!AH$4:AH$153,1),1,IF(Data!AH66&lt;=MEDIAN(Data!AH$4:AH$153),2,IF(Data!AH66&lt;=QUARTILE(Data!AH$4:AH$153,3),3,4)))</f>
        <v>3</v>
      </c>
    </row>
    <row r="67" spans="1:34" x14ac:dyDescent="0.25">
      <c r="A67" s="7" t="s">
        <v>53</v>
      </c>
      <c r="B67" s="14" t="s">
        <v>64</v>
      </c>
      <c r="C67" s="7">
        <v>49</v>
      </c>
      <c r="D67" s="8">
        <v>33</v>
      </c>
      <c r="E67" s="42" t="s">
        <v>58</v>
      </c>
      <c r="F67" s="9">
        <v>4.5199999999999996</v>
      </c>
      <c r="G67" s="7">
        <f>IF(Data!G67&lt;=QUARTILE(Data!G$4:G$153,1),1,IF(Data!G67&lt;=MEDIAN(Data!G$4:G$153),2,IF(Data!G67&lt;=QUARTILE(Data!G$4:G$153,3),3,4)))</f>
        <v>3</v>
      </c>
      <c r="H67" s="8">
        <f>IF(Data!H67&lt;=QUARTILE(Data!H$4:H$153,1),1,IF(Data!H67&lt;=MEDIAN(Data!H$4:H$153),2,IF(Data!H67&lt;=QUARTILE(Data!H$4:H$153,3),3,4)))</f>
        <v>3</v>
      </c>
      <c r="I67" s="8">
        <f>IF(Data!I67&lt;=QUARTILE(Data!I$4:I$153,1),1,IF(Data!I67&lt;=MEDIAN(Data!I$4:I$153),2,IF(Data!I67&lt;=QUARTILE(Data!I$4:I$153,3),3,4)))</f>
        <v>2</v>
      </c>
      <c r="J67" s="8">
        <f>IF(Data!J67&lt;=QUARTILE(Data!J$4:J$153,1),1,IF(Data!J67&lt;=MEDIAN(Data!J$4:J$153),2,IF(Data!J67&lt;=QUARTILE(Data!J$4:J$153,3),3,4)))</f>
        <v>2</v>
      </c>
      <c r="K67" s="8">
        <f>IF(Data!K67&lt;=QUARTILE(Data!K$4:K$153,1),1,IF(Data!K67&lt;=MEDIAN(Data!K$4:K$153),2,IF(Data!K67&lt;=QUARTILE(Data!K$4:K$153,3),3,4)))</f>
        <v>2</v>
      </c>
      <c r="L67" s="8">
        <f>IF(Data!L67&lt;=QUARTILE(Data!L$4:L$153,1),1,IF(Data!L67&lt;=MEDIAN(Data!L$4:L$153),2,IF(Data!L67&lt;=QUARTILE(Data!L$4:L$153,3),3,4)))</f>
        <v>2</v>
      </c>
      <c r="M67" s="8">
        <f>IF(Data!M67&lt;=QUARTILE(Data!M$4:M$153,1),1,IF(Data!M67&lt;=MEDIAN(Data!M$4:M$153),2,IF(Data!M67&lt;=QUARTILE(Data!M$4:M$153,3),3,4)))</f>
        <v>3</v>
      </c>
      <c r="N67" s="8">
        <f>IF(Data!N67&lt;=QUARTILE(Data!N$4:N$153,1),1,IF(Data!N67&lt;=MEDIAN(Data!N$4:N$153),2,IF(Data!N67&lt;=QUARTILE(Data!N$4:N$153,3),3,4)))</f>
        <v>4</v>
      </c>
      <c r="O67" s="8">
        <f>IF(Data!O67&lt;=QUARTILE(Data!O$4:O$153,1),1,IF(Data!O67&lt;=MEDIAN(Data!O$4:O$153),2,IF(Data!O67&lt;=QUARTILE(Data!O$4:O$153,3),3,4)))</f>
        <v>4</v>
      </c>
      <c r="P67" s="8">
        <f>IF(Data!P67&lt;=QUARTILE(Data!P$4:P$153,1),1,IF(Data!P67&lt;=MEDIAN(Data!P$4:P$153),2,IF(Data!P67&lt;=QUARTILE(Data!P$4:P$153,3),3,4)))</f>
        <v>4</v>
      </c>
      <c r="Q67" s="8">
        <f>IF(Data!Q67&lt;=QUARTILE(Data!Q$4:Q$153,1),1,IF(Data!Q67&lt;=MEDIAN(Data!Q$4:Q$153),2,IF(Data!Q67&lt;=QUARTILE(Data!Q$4:Q$153,3),3,4)))</f>
        <v>4</v>
      </c>
      <c r="R67" s="8">
        <f>IF(Data!R67&lt;=QUARTILE(Data!R$4:R$153,1),1,IF(Data!R67&lt;=MEDIAN(Data!R$4:R$153),2,IF(Data!R67&lt;=QUARTILE(Data!R$4:R$153,3),3,4)))</f>
        <v>4</v>
      </c>
      <c r="S67" s="8">
        <f>IF(Data!S67&lt;=QUARTILE(Data!S$4:S$153,1),1,IF(Data!S67&lt;=MEDIAN(Data!S$4:S$153),2,IF(Data!S67&lt;=QUARTILE(Data!S$4:S$153,3),3,4)))</f>
        <v>4</v>
      </c>
      <c r="T67" s="9">
        <f>IF(Data!T67&lt;=QUARTILE(Data!T$4:T$153,1),1,IF(Data!T67&lt;=MEDIAN(Data!T$4:T$153),2,IF(Data!T67&lt;=QUARTILE(Data!T$4:T$153,3),3,4)))</f>
        <v>3</v>
      </c>
      <c r="U67" s="7">
        <f>IF(Data!U67&lt;=QUARTILE(Data!U$4:U$153,1),1,IF(Data!U67&lt;=MEDIAN(Data!U$4:U$153),2,IF(Data!U67&lt;=QUARTILE(Data!U$4:U$153,3),3,4)))</f>
        <v>1</v>
      </c>
      <c r="V67" s="8">
        <f>IF(Data!V67&lt;=QUARTILE(Data!V$4:V$153,1),1,IF(Data!V67&lt;=MEDIAN(Data!V$4:V$153),2,IF(Data!V67&lt;=QUARTILE(Data!V$4:V$153,3),3,4)))</f>
        <v>1</v>
      </c>
      <c r="W67" s="8">
        <f>IF(Data!W67&lt;=QUARTILE(Data!W$4:W$153,1),1,IF(Data!W67&lt;=MEDIAN(Data!W$4:W$153),2,IF(Data!W67&lt;=QUARTILE(Data!W$4:W$153,3),3,4)))</f>
        <v>2</v>
      </c>
      <c r="X67" s="8">
        <f>IF(Data!X67&lt;=QUARTILE(Data!X$4:X$153,1),1,IF(Data!X67&lt;=MEDIAN(Data!X$4:X$153),2,IF(Data!X67&lt;=QUARTILE(Data!X$4:X$153,3),3,4)))</f>
        <v>2</v>
      </c>
      <c r="Y67" s="8">
        <f>IF(Data!Y67&lt;=QUARTILE(Data!Y$4:Y$153,1),1,IF(Data!Y67&lt;=MEDIAN(Data!Y$4:Y$153),2,IF(Data!Y67&lt;=QUARTILE(Data!Y$4:Y$153,3),3,4)))</f>
        <v>3</v>
      </c>
      <c r="Z67" s="8">
        <f>IF(Data!Z67&lt;=QUARTILE(Data!Z$4:Z$153,1),1,IF(Data!Z67&lt;=MEDIAN(Data!Z$4:Z$153),2,IF(Data!Z67&lt;=QUARTILE(Data!Z$4:Z$153,3),3,4)))</f>
        <v>3</v>
      </c>
      <c r="AA67" s="8">
        <f>IF(Data!AA67&lt;=QUARTILE(Data!AA$4:AA$153,1),1,IF(Data!AA67&lt;=MEDIAN(Data!AA$4:AA$153),2,IF(Data!AA67&lt;=QUARTILE(Data!AA$4:AA$153,3),3,4)))</f>
        <v>2</v>
      </c>
      <c r="AB67" s="8">
        <f>IF(Data!AB67&lt;=QUARTILE(Data!AB$4:AB$153,1),1,IF(Data!AB67&lt;=MEDIAN(Data!AB$4:AB$153),2,IF(Data!AB67&lt;=QUARTILE(Data!AB$4:AB$153,3),3,4)))</f>
        <v>2</v>
      </c>
      <c r="AC67" s="8">
        <f>IF(Data!AC67&lt;=QUARTILE(Data!AC$4:AC$153,1),1,IF(Data!AC67&lt;=MEDIAN(Data!AC$4:AC$153),2,IF(Data!AC67&lt;=QUARTILE(Data!AC$4:AC$153,3),3,4)))</f>
        <v>2</v>
      </c>
      <c r="AD67" s="8">
        <f>IF(Data!AD67&lt;=QUARTILE(Data!AD$4:AD$153,1),1,IF(Data!AD67&lt;=MEDIAN(Data!AD$4:AD$153),2,IF(Data!AD67&lt;=QUARTILE(Data!AD$4:AD$153,3),3,4)))</f>
        <v>3</v>
      </c>
      <c r="AE67" s="8">
        <f>IF(Data!AE67&lt;=QUARTILE(Data!AE$4:AE$153,1),1,IF(Data!AE67&lt;=MEDIAN(Data!AE$4:AE$153),2,IF(Data!AE67&lt;=QUARTILE(Data!AE$4:AE$153,3),3,4)))</f>
        <v>4</v>
      </c>
      <c r="AF67" s="8">
        <f>IF(Data!AF67&lt;=QUARTILE(Data!AF$4:AF$153,1),1,IF(Data!AF67&lt;=MEDIAN(Data!AF$4:AF$153),2,IF(Data!AF67&lt;=QUARTILE(Data!AF$4:AF$153,3),3,4)))</f>
        <v>4</v>
      </c>
      <c r="AG67" s="8">
        <f>IF(Data!AG67&lt;=QUARTILE(Data!AG$4:AG$153,1),1,IF(Data!AG67&lt;=MEDIAN(Data!AG$4:AG$153),2,IF(Data!AG67&lt;=QUARTILE(Data!AG$4:AG$153,3),3,4)))</f>
        <v>4</v>
      </c>
      <c r="AH67" s="9">
        <f>IF(Data!AH67&lt;=QUARTILE(Data!AH$4:AH$153,1),1,IF(Data!AH67&lt;=MEDIAN(Data!AH$4:AH$153),2,IF(Data!AH67&lt;=QUARTILE(Data!AH$4:AH$153,3),3,4)))</f>
        <v>1</v>
      </c>
    </row>
    <row r="68" spans="1:34" x14ac:dyDescent="0.25">
      <c r="A68" s="7" t="s">
        <v>69</v>
      </c>
      <c r="B68" s="14" t="s">
        <v>64</v>
      </c>
      <c r="C68" s="7">
        <v>50</v>
      </c>
      <c r="D68" s="8">
        <v>32</v>
      </c>
      <c r="E68" s="42" t="s">
        <v>58</v>
      </c>
      <c r="F68" s="9">
        <v>3.33</v>
      </c>
      <c r="G68" s="7">
        <f>IF(Data!G68&lt;=QUARTILE(Data!G$4:G$153,1),1,IF(Data!G68&lt;=MEDIAN(Data!G$4:G$153),2,IF(Data!G68&lt;=QUARTILE(Data!G$4:G$153,3),3,4)))</f>
        <v>2</v>
      </c>
      <c r="H68" s="8">
        <f>IF(Data!H68&lt;=QUARTILE(Data!H$4:H$153,1),1,IF(Data!H68&lt;=MEDIAN(Data!H$4:H$153),2,IF(Data!H68&lt;=QUARTILE(Data!H$4:H$153,3),3,4)))</f>
        <v>3</v>
      </c>
      <c r="I68" s="8">
        <f>IF(Data!I68&lt;=QUARTILE(Data!I$4:I$153,1),1,IF(Data!I68&lt;=MEDIAN(Data!I$4:I$153),2,IF(Data!I68&lt;=QUARTILE(Data!I$4:I$153,3),3,4)))</f>
        <v>2</v>
      </c>
      <c r="J68" s="8">
        <f>IF(Data!J68&lt;=QUARTILE(Data!J$4:J$153,1),1,IF(Data!J68&lt;=MEDIAN(Data!J$4:J$153),2,IF(Data!J68&lt;=QUARTILE(Data!J$4:J$153,3),3,4)))</f>
        <v>2</v>
      </c>
      <c r="K68" s="8">
        <f>IF(Data!K68&lt;=QUARTILE(Data!K$4:K$153,1),1,IF(Data!K68&lt;=MEDIAN(Data!K$4:K$153),2,IF(Data!K68&lt;=QUARTILE(Data!K$4:K$153,3),3,4)))</f>
        <v>1</v>
      </c>
      <c r="L68" s="8">
        <f>IF(Data!L68&lt;=QUARTILE(Data!L$4:L$153,1),1,IF(Data!L68&lt;=MEDIAN(Data!L$4:L$153),2,IF(Data!L68&lt;=QUARTILE(Data!L$4:L$153,3),3,4)))</f>
        <v>3</v>
      </c>
      <c r="M68" s="8">
        <f>IF(Data!M68&lt;=QUARTILE(Data!M$4:M$153,1),1,IF(Data!M68&lt;=MEDIAN(Data!M$4:M$153),2,IF(Data!M68&lt;=QUARTILE(Data!M$4:M$153,3),3,4)))</f>
        <v>4</v>
      </c>
      <c r="N68" s="8">
        <f>IF(Data!N68&lt;=QUARTILE(Data!N$4:N$153,1),1,IF(Data!N68&lt;=MEDIAN(Data!N$4:N$153),2,IF(Data!N68&lt;=QUARTILE(Data!N$4:N$153,3),3,4)))</f>
        <v>3</v>
      </c>
      <c r="O68" s="8">
        <f>IF(Data!O68&lt;=QUARTILE(Data!O$4:O$153,1),1,IF(Data!O68&lt;=MEDIAN(Data!O$4:O$153),2,IF(Data!O68&lt;=QUARTILE(Data!O$4:O$153,3),3,4)))</f>
        <v>2</v>
      </c>
      <c r="P68" s="8">
        <f>IF(Data!P68&lt;=QUARTILE(Data!P$4:P$153,1),1,IF(Data!P68&lt;=MEDIAN(Data!P$4:P$153),2,IF(Data!P68&lt;=QUARTILE(Data!P$4:P$153,3),3,4)))</f>
        <v>3</v>
      </c>
      <c r="Q68" s="8">
        <f>IF(Data!Q68&lt;=QUARTILE(Data!Q$4:Q$153,1),1,IF(Data!Q68&lt;=MEDIAN(Data!Q$4:Q$153),2,IF(Data!Q68&lt;=QUARTILE(Data!Q$4:Q$153,3),3,4)))</f>
        <v>2</v>
      </c>
      <c r="R68" s="8">
        <f>IF(Data!R68&lt;=QUARTILE(Data!R$4:R$153,1),1,IF(Data!R68&lt;=MEDIAN(Data!R$4:R$153),2,IF(Data!R68&lt;=QUARTILE(Data!R$4:R$153,3),3,4)))</f>
        <v>2</v>
      </c>
      <c r="S68" s="8">
        <f>IF(Data!S68&lt;=QUARTILE(Data!S$4:S$153,1),1,IF(Data!S68&lt;=MEDIAN(Data!S$4:S$153),2,IF(Data!S68&lt;=QUARTILE(Data!S$4:S$153,3),3,4)))</f>
        <v>2</v>
      </c>
      <c r="T68" s="9">
        <f>IF(Data!T68&lt;=QUARTILE(Data!T$4:T$153,1),1,IF(Data!T68&lt;=MEDIAN(Data!T$4:T$153),2,IF(Data!T68&lt;=QUARTILE(Data!T$4:T$153,3),3,4)))</f>
        <v>2</v>
      </c>
      <c r="U68" s="7">
        <f>IF(Data!U68&lt;=QUARTILE(Data!U$4:U$153,1),1,IF(Data!U68&lt;=MEDIAN(Data!U$4:U$153),2,IF(Data!U68&lt;=QUARTILE(Data!U$4:U$153,3),3,4)))</f>
        <v>1</v>
      </c>
      <c r="V68" s="8">
        <f>IF(Data!V68&lt;=QUARTILE(Data!V$4:V$153,1),1,IF(Data!V68&lt;=MEDIAN(Data!V$4:V$153),2,IF(Data!V68&lt;=QUARTILE(Data!V$4:V$153,3),3,4)))</f>
        <v>1</v>
      </c>
      <c r="W68" s="8">
        <f>IF(Data!W68&lt;=QUARTILE(Data!W$4:W$153,1),1,IF(Data!W68&lt;=MEDIAN(Data!W$4:W$153),2,IF(Data!W68&lt;=QUARTILE(Data!W$4:W$153,3),3,4)))</f>
        <v>1</v>
      </c>
      <c r="X68" s="8">
        <f>IF(Data!X68&lt;=QUARTILE(Data!X$4:X$153,1),1,IF(Data!X68&lt;=MEDIAN(Data!X$4:X$153),2,IF(Data!X68&lt;=QUARTILE(Data!X$4:X$153,3),3,4)))</f>
        <v>1</v>
      </c>
      <c r="Y68" s="8">
        <f>IF(Data!Y68&lt;=QUARTILE(Data!Y$4:Y$153,1),1,IF(Data!Y68&lt;=MEDIAN(Data!Y$4:Y$153),2,IF(Data!Y68&lt;=QUARTILE(Data!Y$4:Y$153,3),3,4)))</f>
        <v>2</v>
      </c>
      <c r="Z68" s="8">
        <f>IF(Data!Z68&lt;=QUARTILE(Data!Z$4:Z$153,1),1,IF(Data!Z68&lt;=MEDIAN(Data!Z$4:Z$153),2,IF(Data!Z68&lt;=QUARTILE(Data!Z$4:Z$153,3),3,4)))</f>
        <v>2</v>
      </c>
      <c r="AA68" s="8">
        <f>IF(Data!AA68&lt;=QUARTILE(Data!AA$4:AA$153,1),1,IF(Data!AA68&lt;=MEDIAN(Data!AA$4:AA$153),2,IF(Data!AA68&lt;=QUARTILE(Data!AA$4:AA$153,3),3,4)))</f>
        <v>1</v>
      </c>
      <c r="AB68" s="8">
        <f>IF(Data!AB68&lt;=QUARTILE(Data!AB$4:AB$153,1),1,IF(Data!AB68&lt;=MEDIAN(Data!AB$4:AB$153),2,IF(Data!AB68&lt;=QUARTILE(Data!AB$4:AB$153,3),3,4)))</f>
        <v>2</v>
      </c>
      <c r="AC68" s="8">
        <f>IF(Data!AC68&lt;=QUARTILE(Data!AC$4:AC$153,1),1,IF(Data!AC68&lt;=MEDIAN(Data!AC$4:AC$153),2,IF(Data!AC68&lt;=QUARTILE(Data!AC$4:AC$153,3),3,4)))</f>
        <v>2</v>
      </c>
      <c r="AD68" s="8">
        <f>IF(Data!AD68&lt;=QUARTILE(Data!AD$4:AD$153,1),1,IF(Data!AD68&lt;=MEDIAN(Data!AD$4:AD$153),2,IF(Data!AD68&lt;=QUARTILE(Data!AD$4:AD$153,3),3,4)))</f>
        <v>1</v>
      </c>
      <c r="AE68" s="8">
        <f>IF(Data!AE68&lt;=QUARTILE(Data!AE$4:AE$153,1),1,IF(Data!AE68&lt;=MEDIAN(Data!AE$4:AE$153),2,IF(Data!AE68&lt;=QUARTILE(Data!AE$4:AE$153,3),3,4)))</f>
        <v>1</v>
      </c>
      <c r="AF68" s="8">
        <f>IF(Data!AF68&lt;=QUARTILE(Data!AF$4:AF$153,1),1,IF(Data!AF68&lt;=MEDIAN(Data!AF$4:AF$153),2,IF(Data!AF68&lt;=QUARTILE(Data!AF$4:AF$153,3),3,4)))</f>
        <v>4</v>
      </c>
      <c r="AG68" s="8">
        <f>IF(Data!AG68&lt;=QUARTILE(Data!AG$4:AG$153,1),1,IF(Data!AG68&lt;=MEDIAN(Data!AG$4:AG$153),2,IF(Data!AG68&lt;=QUARTILE(Data!AG$4:AG$153,3),3,4)))</f>
        <v>3</v>
      </c>
      <c r="AH68" s="9">
        <f>IF(Data!AH68&lt;=QUARTILE(Data!AH$4:AH$153,1),1,IF(Data!AH68&lt;=MEDIAN(Data!AH$4:AH$153),2,IF(Data!AH68&lt;=QUARTILE(Data!AH$4:AH$153,3),3,4)))</f>
        <v>1</v>
      </c>
    </row>
    <row r="69" spans="1:34" x14ac:dyDescent="0.25">
      <c r="A69" s="7" t="s">
        <v>73</v>
      </c>
      <c r="B69" s="14" t="s">
        <v>64</v>
      </c>
      <c r="C69" s="7">
        <v>67</v>
      </c>
      <c r="D69" s="8">
        <v>15</v>
      </c>
      <c r="E69" s="42" t="s">
        <v>58</v>
      </c>
      <c r="F69" s="9">
        <v>7.28</v>
      </c>
      <c r="G69" s="7">
        <f>IF(Data!G69&lt;=QUARTILE(Data!G$4:G$153,1),1,IF(Data!G69&lt;=MEDIAN(Data!G$4:G$153),2,IF(Data!G69&lt;=QUARTILE(Data!G$4:G$153,3),3,4)))</f>
        <v>3</v>
      </c>
      <c r="H69" s="8">
        <f>IF(Data!H69&lt;=QUARTILE(Data!H$4:H$153,1),1,IF(Data!H69&lt;=MEDIAN(Data!H$4:H$153),2,IF(Data!H69&lt;=QUARTILE(Data!H$4:H$153,3),3,4)))</f>
        <v>2</v>
      </c>
      <c r="I69" s="8">
        <f>IF(Data!I69&lt;=QUARTILE(Data!I$4:I$153,1),1,IF(Data!I69&lt;=MEDIAN(Data!I$4:I$153),2,IF(Data!I69&lt;=QUARTILE(Data!I$4:I$153,3),3,4)))</f>
        <v>3</v>
      </c>
      <c r="J69" s="8">
        <f>IF(Data!J69&lt;=QUARTILE(Data!J$4:J$153,1),1,IF(Data!J69&lt;=MEDIAN(Data!J$4:J$153),2,IF(Data!J69&lt;=QUARTILE(Data!J$4:J$153,3),3,4)))</f>
        <v>2</v>
      </c>
      <c r="K69" s="8">
        <f>IF(Data!K69&lt;=QUARTILE(Data!K$4:K$153,1),1,IF(Data!K69&lt;=MEDIAN(Data!K$4:K$153),2,IF(Data!K69&lt;=QUARTILE(Data!K$4:K$153,3),3,4)))</f>
        <v>3</v>
      </c>
      <c r="L69" s="8">
        <f>IF(Data!L69&lt;=QUARTILE(Data!L$4:L$153,1),1,IF(Data!L69&lt;=MEDIAN(Data!L$4:L$153),2,IF(Data!L69&lt;=QUARTILE(Data!L$4:L$153,3),3,4)))</f>
        <v>2</v>
      </c>
      <c r="M69" s="8">
        <f>IF(Data!M69&lt;=QUARTILE(Data!M$4:M$153,1),1,IF(Data!M69&lt;=MEDIAN(Data!M$4:M$153),2,IF(Data!M69&lt;=QUARTILE(Data!M$4:M$153,3),3,4)))</f>
        <v>2</v>
      </c>
      <c r="N69" s="8">
        <f>IF(Data!N69&lt;=QUARTILE(Data!N$4:N$153,1),1,IF(Data!N69&lt;=MEDIAN(Data!N$4:N$153),2,IF(Data!N69&lt;=QUARTILE(Data!N$4:N$153,3),3,4)))</f>
        <v>3</v>
      </c>
      <c r="O69" s="8">
        <f>IF(Data!O69&lt;=QUARTILE(Data!O$4:O$153,1),1,IF(Data!O69&lt;=MEDIAN(Data!O$4:O$153),2,IF(Data!O69&lt;=QUARTILE(Data!O$4:O$153,3),3,4)))</f>
        <v>1</v>
      </c>
      <c r="P69" s="8">
        <f>IF(Data!P69&lt;=QUARTILE(Data!P$4:P$153,1),1,IF(Data!P69&lt;=MEDIAN(Data!P$4:P$153),2,IF(Data!P69&lt;=QUARTILE(Data!P$4:P$153,3),3,4)))</f>
        <v>2</v>
      </c>
      <c r="Q69" s="8">
        <f>IF(Data!Q69&lt;=QUARTILE(Data!Q$4:Q$153,1),1,IF(Data!Q69&lt;=MEDIAN(Data!Q$4:Q$153),2,IF(Data!Q69&lt;=QUARTILE(Data!Q$4:Q$153,3),3,4)))</f>
        <v>3</v>
      </c>
      <c r="R69" s="8">
        <f>IF(Data!R69&lt;=QUARTILE(Data!R$4:R$153,1),1,IF(Data!R69&lt;=MEDIAN(Data!R$4:R$153),2,IF(Data!R69&lt;=QUARTILE(Data!R$4:R$153,3),3,4)))</f>
        <v>2</v>
      </c>
      <c r="S69" s="8">
        <f>IF(Data!S69&lt;=QUARTILE(Data!S$4:S$153,1),1,IF(Data!S69&lt;=MEDIAN(Data!S$4:S$153),2,IF(Data!S69&lt;=QUARTILE(Data!S$4:S$153,3),3,4)))</f>
        <v>3</v>
      </c>
      <c r="T69" s="9">
        <f>IF(Data!T69&lt;=QUARTILE(Data!T$4:T$153,1),1,IF(Data!T69&lt;=MEDIAN(Data!T$4:T$153),2,IF(Data!T69&lt;=QUARTILE(Data!T$4:T$153,3),3,4)))</f>
        <v>3</v>
      </c>
      <c r="U69" s="7">
        <f>IF(Data!U69&lt;=QUARTILE(Data!U$4:U$153,1),1,IF(Data!U69&lt;=MEDIAN(Data!U$4:U$153),2,IF(Data!U69&lt;=QUARTILE(Data!U$4:U$153,3),3,4)))</f>
        <v>1</v>
      </c>
      <c r="V69" s="8">
        <f>IF(Data!V69&lt;=QUARTILE(Data!V$4:V$153,1),1,IF(Data!V69&lt;=MEDIAN(Data!V$4:V$153),2,IF(Data!V69&lt;=QUARTILE(Data!V$4:V$153,3),3,4)))</f>
        <v>1</v>
      </c>
      <c r="W69" s="8">
        <f>IF(Data!W69&lt;=QUARTILE(Data!W$4:W$153,1),1,IF(Data!W69&lt;=MEDIAN(Data!W$4:W$153),2,IF(Data!W69&lt;=QUARTILE(Data!W$4:W$153,3),3,4)))</f>
        <v>1</v>
      </c>
      <c r="X69" s="8">
        <f>IF(Data!X69&lt;=QUARTILE(Data!X$4:X$153,1),1,IF(Data!X69&lt;=MEDIAN(Data!X$4:X$153),2,IF(Data!X69&lt;=QUARTILE(Data!X$4:X$153,3),3,4)))</f>
        <v>1</v>
      </c>
      <c r="Y69" s="8">
        <f>IF(Data!Y69&lt;=QUARTILE(Data!Y$4:Y$153,1),1,IF(Data!Y69&lt;=MEDIAN(Data!Y$4:Y$153),2,IF(Data!Y69&lt;=QUARTILE(Data!Y$4:Y$153,3),3,4)))</f>
        <v>3</v>
      </c>
      <c r="Z69" s="8">
        <f>IF(Data!Z69&lt;=QUARTILE(Data!Z$4:Z$153,1),1,IF(Data!Z69&lt;=MEDIAN(Data!Z$4:Z$153),2,IF(Data!Z69&lt;=QUARTILE(Data!Z$4:Z$153,3),3,4)))</f>
        <v>3</v>
      </c>
      <c r="AA69" s="8">
        <f>IF(Data!AA69&lt;=QUARTILE(Data!AA$4:AA$153,1),1,IF(Data!AA69&lt;=MEDIAN(Data!AA$4:AA$153),2,IF(Data!AA69&lt;=QUARTILE(Data!AA$4:AA$153,3),3,4)))</f>
        <v>1</v>
      </c>
      <c r="AB69" s="8">
        <f>IF(Data!AB69&lt;=QUARTILE(Data!AB$4:AB$153,1),1,IF(Data!AB69&lt;=MEDIAN(Data!AB$4:AB$153),2,IF(Data!AB69&lt;=QUARTILE(Data!AB$4:AB$153,3),3,4)))</f>
        <v>1</v>
      </c>
      <c r="AC69" s="8">
        <f>IF(Data!AC69&lt;=QUARTILE(Data!AC$4:AC$153,1),1,IF(Data!AC69&lt;=MEDIAN(Data!AC$4:AC$153),2,IF(Data!AC69&lt;=QUARTILE(Data!AC$4:AC$153,3),3,4)))</f>
        <v>1</v>
      </c>
      <c r="AD69" s="8">
        <f>IF(Data!AD69&lt;=QUARTILE(Data!AD$4:AD$153,1),1,IF(Data!AD69&lt;=MEDIAN(Data!AD$4:AD$153),2,IF(Data!AD69&lt;=QUARTILE(Data!AD$4:AD$153,3),3,4)))</f>
        <v>2</v>
      </c>
      <c r="AE69" s="8">
        <f>IF(Data!AE69&lt;=QUARTILE(Data!AE$4:AE$153,1),1,IF(Data!AE69&lt;=MEDIAN(Data!AE$4:AE$153),2,IF(Data!AE69&lt;=QUARTILE(Data!AE$4:AE$153,3),3,4)))</f>
        <v>1</v>
      </c>
      <c r="AF69" s="8">
        <f>IF(Data!AF69&lt;=QUARTILE(Data!AF$4:AF$153,1),1,IF(Data!AF69&lt;=MEDIAN(Data!AF$4:AF$153),2,IF(Data!AF69&lt;=QUARTILE(Data!AF$4:AF$153,3),3,4)))</f>
        <v>3</v>
      </c>
      <c r="AG69" s="8">
        <f>IF(Data!AG69&lt;=QUARTILE(Data!AG$4:AG$153,1),1,IF(Data!AG69&lt;=MEDIAN(Data!AG$4:AG$153),2,IF(Data!AG69&lt;=QUARTILE(Data!AG$4:AG$153,3),3,4)))</f>
        <v>3</v>
      </c>
      <c r="AH69" s="9">
        <f>IF(Data!AH69&lt;=QUARTILE(Data!AH$4:AH$153,1),1,IF(Data!AH69&lt;=MEDIAN(Data!AH$4:AH$153),2,IF(Data!AH69&lt;=QUARTILE(Data!AH$4:AH$153,3),3,4)))</f>
        <v>1</v>
      </c>
    </row>
    <row r="70" spans="1:34" x14ac:dyDescent="0.25">
      <c r="A70" s="7" t="s">
        <v>74</v>
      </c>
      <c r="B70" s="14" t="s">
        <v>64</v>
      </c>
      <c r="C70" s="7">
        <v>45</v>
      </c>
      <c r="D70" s="8">
        <v>37</v>
      </c>
      <c r="E70" s="42" t="s">
        <v>58</v>
      </c>
      <c r="F70" s="9">
        <v>1.69</v>
      </c>
      <c r="G70" s="7">
        <f>IF(Data!G70&lt;=QUARTILE(Data!G$4:G$153,1),1,IF(Data!G70&lt;=MEDIAN(Data!G$4:G$153),2,IF(Data!G70&lt;=QUARTILE(Data!G$4:G$153,3),3,4)))</f>
        <v>4</v>
      </c>
      <c r="H70" s="8">
        <f>IF(Data!H70&lt;=QUARTILE(Data!H$4:H$153,1),1,IF(Data!H70&lt;=MEDIAN(Data!H$4:H$153),2,IF(Data!H70&lt;=QUARTILE(Data!H$4:H$153,3),3,4)))</f>
        <v>4</v>
      </c>
      <c r="I70" s="8">
        <f>IF(Data!I70&lt;=QUARTILE(Data!I$4:I$153,1),1,IF(Data!I70&lt;=MEDIAN(Data!I$4:I$153),2,IF(Data!I70&lt;=QUARTILE(Data!I$4:I$153,3),3,4)))</f>
        <v>2</v>
      </c>
      <c r="J70" s="8">
        <f>IF(Data!J70&lt;=QUARTILE(Data!J$4:J$153,1),1,IF(Data!J70&lt;=MEDIAN(Data!J$4:J$153),2,IF(Data!J70&lt;=QUARTILE(Data!J$4:J$153,3),3,4)))</f>
        <v>3</v>
      </c>
      <c r="K70" s="8">
        <f>IF(Data!K70&lt;=QUARTILE(Data!K$4:K$153,1),1,IF(Data!K70&lt;=MEDIAN(Data!K$4:K$153),2,IF(Data!K70&lt;=QUARTILE(Data!K$4:K$153,3),3,4)))</f>
        <v>4</v>
      </c>
      <c r="L70" s="8">
        <f>IF(Data!L70&lt;=QUARTILE(Data!L$4:L$153,1),1,IF(Data!L70&lt;=MEDIAN(Data!L$4:L$153),2,IF(Data!L70&lt;=QUARTILE(Data!L$4:L$153,3),3,4)))</f>
        <v>4</v>
      </c>
      <c r="M70" s="8">
        <f>IF(Data!M70&lt;=QUARTILE(Data!M$4:M$153,1),1,IF(Data!M70&lt;=MEDIAN(Data!M$4:M$153),2,IF(Data!M70&lt;=QUARTILE(Data!M$4:M$153,3),3,4)))</f>
        <v>4</v>
      </c>
      <c r="N70" s="8">
        <f>IF(Data!N70&lt;=QUARTILE(Data!N$4:N$153,1),1,IF(Data!N70&lt;=MEDIAN(Data!N$4:N$153),2,IF(Data!N70&lt;=QUARTILE(Data!N$4:N$153,3),3,4)))</f>
        <v>4</v>
      </c>
      <c r="O70" s="8">
        <f>IF(Data!O70&lt;=QUARTILE(Data!O$4:O$153,1),1,IF(Data!O70&lt;=MEDIAN(Data!O$4:O$153),2,IF(Data!O70&lt;=QUARTILE(Data!O$4:O$153,3),3,4)))</f>
        <v>4</v>
      </c>
      <c r="P70" s="8">
        <f>IF(Data!P70&lt;=QUARTILE(Data!P$4:P$153,1),1,IF(Data!P70&lt;=MEDIAN(Data!P$4:P$153),2,IF(Data!P70&lt;=QUARTILE(Data!P$4:P$153,3),3,4)))</f>
        <v>4</v>
      </c>
      <c r="Q70" s="8">
        <f>IF(Data!Q70&lt;=QUARTILE(Data!Q$4:Q$153,1),1,IF(Data!Q70&lt;=MEDIAN(Data!Q$4:Q$153),2,IF(Data!Q70&lt;=QUARTILE(Data!Q$4:Q$153,3),3,4)))</f>
        <v>3</v>
      </c>
      <c r="R70" s="8">
        <f>IF(Data!R70&lt;=QUARTILE(Data!R$4:R$153,1),1,IF(Data!R70&lt;=MEDIAN(Data!R$4:R$153),2,IF(Data!R70&lt;=QUARTILE(Data!R$4:R$153,3),3,4)))</f>
        <v>4</v>
      </c>
      <c r="S70" s="8">
        <f>IF(Data!S70&lt;=QUARTILE(Data!S$4:S$153,1),1,IF(Data!S70&lt;=MEDIAN(Data!S$4:S$153),2,IF(Data!S70&lt;=QUARTILE(Data!S$4:S$153,3),3,4)))</f>
        <v>2</v>
      </c>
      <c r="T70" s="9">
        <f>IF(Data!T70&lt;=QUARTILE(Data!T$4:T$153,1),1,IF(Data!T70&lt;=MEDIAN(Data!T$4:T$153),2,IF(Data!T70&lt;=QUARTILE(Data!T$4:T$153,3),3,4)))</f>
        <v>4</v>
      </c>
      <c r="U70" s="7">
        <f>IF(Data!U70&lt;=QUARTILE(Data!U$4:U$153,1),1,IF(Data!U70&lt;=MEDIAN(Data!U$4:U$153),2,IF(Data!U70&lt;=QUARTILE(Data!U$4:U$153,3),3,4)))</f>
        <v>4</v>
      </c>
      <c r="V70" s="8">
        <f>IF(Data!V70&lt;=QUARTILE(Data!V$4:V$153,1),1,IF(Data!V70&lt;=MEDIAN(Data!V$4:V$153),2,IF(Data!V70&lt;=QUARTILE(Data!V$4:V$153,3),3,4)))</f>
        <v>4</v>
      </c>
      <c r="W70" s="8">
        <f>IF(Data!W70&lt;=QUARTILE(Data!W$4:W$153,1),1,IF(Data!W70&lt;=MEDIAN(Data!W$4:W$153),2,IF(Data!W70&lt;=QUARTILE(Data!W$4:W$153,3),3,4)))</f>
        <v>4</v>
      </c>
      <c r="X70" s="8">
        <f>IF(Data!X70&lt;=QUARTILE(Data!X$4:X$153,1),1,IF(Data!X70&lt;=MEDIAN(Data!X$4:X$153),2,IF(Data!X70&lt;=QUARTILE(Data!X$4:X$153,3),3,4)))</f>
        <v>4</v>
      </c>
      <c r="Y70" s="8">
        <f>IF(Data!Y70&lt;=QUARTILE(Data!Y$4:Y$153,1),1,IF(Data!Y70&lt;=MEDIAN(Data!Y$4:Y$153),2,IF(Data!Y70&lt;=QUARTILE(Data!Y$4:Y$153,3),3,4)))</f>
        <v>1</v>
      </c>
      <c r="Z70" s="8">
        <f>IF(Data!Z70&lt;=QUARTILE(Data!Z$4:Z$153,1),1,IF(Data!Z70&lt;=MEDIAN(Data!Z$4:Z$153),2,IF(Data!Z70&lt;=QUARTILE(Data!Z$4:Z$153,3),3,4)))</f>
        <v>1</v>
      </c>
      <c r="AA70" s="8">
        <f>IF(Data!AA70&lt;=QUARTILE(Data!AA$4:AA$153,1),1,IF(Data!AA70&lt;=MEDIAN(Data!AA$4:AA$153),2,IF(Data!AA70&lt;=QUARTILE(Data!AA$4:AA$153,3),3,4)))</f>
        <v>4</v>
      </c>
      <c r="AB70" s="8">
        <f>IF(Data!AB70&lt;=QUARTILE(Data!AB$4:AB$153,1),1,IF(Data!AB70&lt;=MEDIAN(Data!AB$4:AB$153),2,IF(Data!AB70&lt;=QUARTILE(Data!AB$4:AB$153,3),3,4)))</f>
        <v>2</v>
      </c>
      <c r="AC70" s="8">
        <f>IF(Data!AC70&lt;=QUARTILE(Data!AC$4:AC$153,1),1,IF(Data!AC70&lt;=MEDIAN(Data!AC$4:AC$153),2,IF(Data!AC70&lt;=QUARTILE(Data!AC$4:AC$153,3),3,4)))</f>
        <v>4</v>
      </c>
      <c r="AD70" s="8">
        <f>IF(Data!AD70&lt;=QUARTILE(Data!AD$4:AD$153,1),1,IF(Data!AD70&lt;=MEDIAN(Data!AD$4:AD$153),2,IF(Data!AD70&lt;=QUARTILE(Data!AD$4:AD$153,3),3,4)))</f>
        <v>4</v>
      </c>
      <c r="AE70" s="8">
        <f>IF(Data!AE70&lt;=QUARTILE(Data!AE$4:AE$153,1),1,IF(Data!AE70&lt;=MEDIAN(Data!AE$4:AE$153),2,IF(Data!AE70&lt;=QUARTILE(Data!AE$4:AE$153,3),3,4)))</f>
        <v>4</v>
      </c>
      <c r="AF70" s="8">
        <f>IF(Data!AF70&lt;=QUARTILE(Data!AF$4:AF$153,1),1,IF(Data!AF70&lt;=MEDIAN(Data!AF$4:AF$153),2,IF(Data!AF70&lt;=QUARTILE(Data!AF$4:AF$153,3),3,4)))</f>
        <v>4</v>
      </c>
      <c r="AG70" s="8">
        <f>IF(Data!AG70&lt;=QUARTILE(Data!AG$4:AG$153,1),1,IF(Data!AG70&lt;=MEDIAN(Data!AG$4:AG$153),2,IF(Data!AG70&lt;=QUARTILE(Data!AG$4:AG$153,3),3,4)))</f>
        <v>4</v>
      </c>
      <c r="AH70" s="9">
        <f>IF(Data!AH70&lt;=QUARTILE(Data!AH$4:AH$153,1),1,IF(Data!AH70&lt;=MEDIAN(Data!AH$4:AH$153),2,IF(Data!AH70&lt;=QUARTILE(Data!AH$4:AH$153,3),3,4)))</f>
        <v>4</v>
      </c>
    </row>
    <row r="71" spans="1:34" x14ac:dyDescent="0.25">
      <c r="A71" s="7" t="s">
        <v>75</v>
      </c>
      <c r="B71" s="14" t="s">
        <v>64</v>
      </c>
      <c r="C71" s="7">
        <v>53</v>
      </c>
      <c r="D71" s="8">
        <v>29</v>
      </c>
      <c r="E71" s="42" t="s">
        <v>58</v>
      </c>
      <c r="F71" s="9">
        <v>3.68</v>
      </c>
      <c r="G71" s="7">
        <f>IF(Data!G71&lt;=QUARTILE(Data!G$4:G$153,1),1,IF(Data!G71&lt;=MEDIAN(Data!G$4:G$153),2,IF(Data!G71&lt;=QUARTILE(Data!G$4:G$153,3),3,4)))</f>
        <v>2</v>
      </c>
      <c r="H71" s="8">
        <f>IF(Data!H71&lt;=QUARTILE(Data!H$4:H$153,1),1,IF(Data!H71&lt;=MEDIAN(Data!H$4:H$153),2,IF(Data!H71&lt;=QUARTILE(Data!H$4:H$153,3),3,4)))</f>
        <v>2</v>
      </c>
      <c r="I71" s="8">
        <f>IF(Data!I71&lt;=QUARTILE(Data!I$4:I$153,1),1,IF(Data!I71&lt;=MEDIAN(Data!I$4:I$153),2,IF(Data!I71&lt;=QUARTILE(Data!I$4:I$153,3),3,4)))</f>
        <v>2</v>
      </c>
      <c r="J71" s="8">
        <f>IF(Data!J71&lt;=QUARTILE(Data!J$4:J$153,1),1,IF(Data!J71&lt;=MEDIAN(Data!J$4:J$153),2,IF(Data!J71&lt;=QUARTILE(Data!J$4:J$153,3),3,4)))</f>
        <v>2</v>
      </c>
      <c r="K71" s="8">
        <f>IF(Data!K71&lt;=QUARTILE(Data!K$4:K$153,1),1,IF(Data!K71&lt;=MEDIAN(Data!K$4:K$153),2,IF(Data!K71&lt;=QUARTILE(Data!K$4:K$153,3),3,4)))</f>
        <v>2</v>
      </c>
      <c r="L71" s="8">
        <f>IF(Data!L71&lt;=QUARTILE(Data!L$4:L$153,1),1,IF(Data!L71&lt;=MEDIAN(Data!L$4:L$153),2,IF(Data!L71&lt;=QUARTILE(Data!L$4:L$153,3),3,4)))</f>
        <v>2</v>
      </c>
      <c r="M71" s="8">
        <f>IF(Data!M71&lt;=QUARTILE(Data!M$4:M$153,1),1,IF(Data!M71&lt;=MEDIAN(Data!M$4:M$153),2,IF(Data!M71&lt;=QUARTILE(Data!M$4:M$153,3),3,4)))</f>
        <v>3</v>
      </c>
      <c r="N71" s="8">
        <f>IF(Data!N71&lt;=QUARTILE(Data!N$4:N$153,1),1,IF(Data!N71&lt;=MEDIAN(Data!N$4:N$153),2,IF(Data!N71&lt;=QUARTILE(Data!N$4:N$153,3),3,4)))</f>
        <v>1</v>
      </c>
      <c r="O71" s="8">
        <f>IF(Data!O71&lt;=QUARTILE(Data!O$4:O$153,1),1,IF(Data!O71&lt;=MEDIAN(Data!O$4:O$153),2,IF(Data!O71&lt;=QUARTILE(Data!O$4:O$153,3),3,4)))</f>
        <v>3</v>
      </c>
      <c r="P71" s="8">
        <f>IF(Data!P71&lt;=QUARTILE(Data!P$4:P$153,1),1,IF(Data!P71&lt;=MEDIAN(Data!P$4:P$153),2,IF(Data!P71&lt;=QUARTILE(Data!P$4:P$153,3),3,4)))</f>
        <v>2</v>
      </c>
      <c r="Q71" s="8">
        <f>IF(Data!Q71&lt;=QUARTILE(Data!Q$4:Q$153,1),1,IF(Data!Q71&lt;=MEDIAN(Data!Q$4:Q$153),2,IF(Data!Q71&lt;=QUARTILE(Data!Q$4:Q$153,3),3,4)))</f>
        <v>4</v>
      </c>
      <c r="R71" s="8">
        <f>IF(Data!R71&lt;=QUARTILE(Data!R$4:R$153,1),1,IF(Data!R71&lt;=MEDIAN(Data!R$4:R$153),2,IF(Data!R71&lt;=QUARTILE(Data!R$4:R$153,3),3,4)))</f>
        <v>1</v>
      </c>
      <c r="S71" s="8">
        <f>IF(Data!S71&lt;=QUARTILE(Data!S$4:S$153,1),1,IF(Data!S71&lt;=MEDIAN(Data!S$4:S$153),2,IF(Data!S71&lt;=QUARTILE(Data!S$4:S$153,3),3,4)))</f>
        <v>1</v>
      </c>
      <c r="T71" s="9">
        <f>IF(Data!T71&lt;=QUARTILE(Data!T$4:T$153,1),1,IF(Data!T71&lt;=MEDIAN(Data!T$4:T$153),2,IF(Data!T71&lt;=QUARTILE(Data!T$4:T$153,3),3,4)))</f>
        <v>2</v>
      </c>
      <c r="U71" s="7">
        <f>IF(Data!U71&lt;=QUARTILE(Data!U$4:U$153,1),1,IF(Data!U71&lt;=MEDIAN(Data!U$4:U$153),2,IF(Data!U71&lt;=QUARTILE(Data!U$4:U$153,3),3,4)))</f>
        <v>1</v>
      </c>
      <c r="V71" s="8">
        <f>IF(Data!V71&lt;=QUARTILE(Data!V$4:V$153,1),1,IF(Data!V71&lt;=MEDIAN(Data!V$4:V$153),2,IF(Data!V71&lt;=QUARTILE(Data!V$4:V$153,3),3,4)))</f>
        <v>1</v>
      </c>
      <c r="W71" s="8">
        <f>IF(Data!W71&lt;=QUARTILE(Data!W$4:W$153,1),1,IF(Data!W71&lt;=MEDIAN(Data!W$4:W$153),2,IF(Data!W71&lt;=QUARTILE(Data!W$4:W$153,3),3,4)))</f>
        <v>1</v>
      </c>
      <c r="X71" s="8">
        <f>IF(Data!X71&lt;=QUARTILE(Data!X$4:X$153,1),1,IF(Data!X71&lt;=MEDIAN(Data!X$4:X$153),2,IF(Data!X71&lt;=QUARTILE(Data!X$4:X$153,3),3,4)))</f>
        <v>1</v>
      </c>
      <c r="Y71" s="8">
        <f>IF(Data!Y71&lt;=QUARTILE(Data!Y$4:Y$153,1),1,IF(Data!Y71&lt;=MEDIAN(Data!Y$4:Y$153),2,IF(Data!Y71&lt;=QUARTILE(Data!Y$4:Y$153,3),3,4)))</f>
        <v>2</v>
      </c>
      <c r="Z71" s="8">
        <f>IF(Data!Z71&lt;=QUARTILE(Data!Z$4:Z$153,1),1,IF(Data!Z71&lt;=MEDIAN(Data!Z$4:Z$153),2,IF(Data!Z71&lt;=QUARTILE(Data!Z$4:Z$153,3),3,4)))</f>
        <v>2</v>
      </c>
      <c r="AA71" s="8">
        <f>IF(Data!AA71&lt;=QUARTILE(Data!AA$4:AA$153,1),1,IF(Data!AA71&lt;=MEDIAN(Data!AA$4:AA$153),2,IF(Data!AA71&lt;=QUARTILE(Data!AA$4:AA$153,3),3,4)))</f>
        <v>4</v>
      </c>
      <c r="AB71" s="8">
        <f>IF(Data!AB71&lt;=QUARTILE(Data!AB$4:AB$153,1),1,IF(Data!AB71&lt;=MEDIAN(Data!AB$4:AB$153),2,IF(Data!AB71&lt;=QUARTILE(Data!AB$4:AB$153,3),3,4)))</f>
        <v>2</v>
      </c>
      <c r="AC71" s="8">
        <f>IF(Data!AC71&lt;=QUARTILE(Data!AC$4:AC$153,1),1,IF(Data!AC71&lt;=MEDIAN(Data!AC$4:AC$153),2,IF(Data!AC71&lt;=QUARTILE(Data!AC$4:AC$153,3),3,4)))</f>
        <v>2</v>
      </c>
      <c r="AD71" s="8">
        <f>IF(Data!AD71&lt;=QUARTILE(Data!AD$4:AD$153,1),1,IF(Data!AD71&lt;=MEDIAN(Data!AD$4:AD$153),2,IF(Data!AD71&lt;=QUARTILE(Data!AD$4:AD$153,3),3,4)))</f>
        <v>1</v>
      </c>
      <c r="AE71" s="8">
        <f>IF(Data!AE71&lt;=QUARTILE(Data!AE$4:AE$153,1),1,IF(Data!AE71&lt;=MEDIAN(Data!AE$4:AE$153),2,IF(Data!AE71&lt;=QUARTILE(Data!AE$4:AE$153,3),3,4)))</f>
        <v>1</v>
      </c>
      <c r="AF71" s="8">
        <f>IF(Data!AF71&lt;=QUARTILE(Data!AF$4:AF$153,1),1,IF(Data!AF71&lt;=MEDIAN(Data!AF$4:AF$153),2,IF(Data!AF71&lt;=QUARTILE(Data!AF$4:AF$153,3),3,4)))</f>
        <v>3</v>
      </c>
      <c r="AG71" s="8">
        <f>IF(Data!AG71&lt;=QUARTILE(Data!AG$4:AG$153,1),1,IF(Data!AG71&lt;=MEDIAN(Data!AG$4:AG$153),2,IF(Data!AG71&lt;=QUARTILE(Data!AG$4:AG$153,3),3,4)))</f>
        <v>1</v>
      </c>
      <c r="AH71" s="9">
        <f>IF(Data!AH71&lt;=QUARTILE(Data!AH$4:AH$153,1),1,IF(Data!AH71&lt;=MEDIAN(Data!AH$4:AH$153),2,IF(Data!AH71&lt;=QUARTILE(Data!AH$4:AH$153,3),3,4)))</f>
        <v>1</v>
      </c>
    </row>
    <row r="72" spans="1:34" x14ac:dyDescent="0.25">
      <c r="A72" s="7" t="s">
        <v>17</v>
      </c>
      <c r="B72" s="14" t="s">
        <v>64</v>
      </c>
      <c r="C72" s="7">
        <v>42</v>
      </c>
      <c r="D72" s="8">
        <v>40</v>
      </c>
      <c r="E72" s="42" t="s">
        <v>58</v>
      </c>
      <c r="F72" s="9">
        <v>-0.01</v>
      </c>
      <c r="G72" s="7">
        <f>IF(Data!G72&lt;=QUARTILE(Data!G$4:G$153,1),1,IF(Data!G72&lt;=MEDIAN(Data!G$4:G$153),2,IF(Data!G72&lt;=QUARTILE(Data!G$4:G$153,3),3,4)))</f>
        <v>4</v>
      </c>
      <c r="H72" s="8">
        <f>IF(Data!H72&lt;=QUARTILE(Data!H$4:H$153,1),1,IF(Data!H72&lt;=MEDIAN(Data!H$4:H$153),2,IF(Data!H72&lt;=QUARTILE(Data!H$4:H$153,3),3,4)))</f>
        <v>4</v>
      </c>
      <c r="I72" s="8">
        <f>IF(Data!I72&lt;=QUARTILE(Data!I$4:I$153,1),1,IF(Data!I72&lt;=MEDIAN(Data!I$4:I$153),2,IF(Data!I72&lt;=QUARTILE(Data!I$4:I$153,3),3,4)))</f>
        <v>4</v>
      </c>
      <c r="J72" s="8">
        <f>IF(Data!J72&lt;=QUARTILE(Data!J$4:J$153,1),1,IF(Data!J72&lt;=MEDIAN(Data!J$4:J$153),2,IF(Data!J72&lt;=QUARTILE(Data!J$4:J$153,3),3,4)))</f>
        <v>4</v>
      </c>
      <c r="K72" s="8">
        <f>IF(Data!K72&lt;=QUARTILE(Data!K$4:K$153,1),1,IF(Data!K72&lt;=MEDIAN(Data!K$4:K$153),2,IF(Data!K72&lt;=QUARTILE(Data!K$4:K$153,3),3,4)))</f>
        <v>2</v>
      </c>
      <c r="L72" s="8">
        <f>IF(Data!L72&lt;=QUARTILE(Data!L$4:L$153,1),1,IF(Data!L72&lt;=MEDIAN(Data!L$4:L$153),2,IF(Data!L72&lt;=QUARTILE(Data!L$4:L$153,3),3,4)))</f>
        <v>3</v>
      </c>
      <c r="M72" s="8">
        <f>IF(Data!M72&lt;=QUARTILE(Data!M$4:M$153,1),1,IF(Data!M72&lt;=MEDIAN(Data!M$4:M$153),2,IF(Data!M72&lt;=QUARTILE(Data!M$4:M$153,3),3,4)))</f>
        <v>3</v>
      </c>
      <c r="N72" s="8">
        <f>IF(Data!N72&lt;=QUARTILE(Data!N$4:N$153,1),1,IF(Data!N72&lt;=MEDIAN(Data!N$4:N$153),2,IF(Data!N72&lt;=QUARTILE(Data!N$4:N$153,3),3,4)))</f>
        <v>2</v>
      </c>
      <c r="O72" s="8">
        <f>IF(Data!O72&lt;=QUARTILE(Data!O$4:O$153,1),1,IF(Data!O72&lt;=MEDIAN(Data!O$4:O$153),2,IF(Data!O72&lt;=QUARTILE(Data!O$4:O$153,3),3,4)))</f>
        <v>4</v>
      </c>
      <c r="P72" s="8">
        <f>IF(Data!P72&lt;=QUARTILE(Data!P$4:P$153,1),1,IF(Data!P72&lt;=MEDIAN(Data!P$4:P$153),2,IF(Data!P72&lt;=QUARTILE(Data!P$4:P$153,3),3,4)))</f>
        <v>4</v>
      </c>
      <c r="Q72" s="8">
        <f>IF(Data!Q72&lt;=QUARTILE(Data!Q$4:Q$153,1),1,IF(Data!Q72&lt;=MEDIAN(Data!Q$4:Q$153),2,IF(Data!Q72&lt;=QUARTILE(Data!Q$4:Q$153,3),3,4)))</f>
        <v>4</v>
      </c>
      <c r="R72" s="8">
        <f>IF(Data!R72&lt;=QUARTILE(Data!R$4:R$153,1),1,IF(Data!R72&lt;=MEDIAN(Data!R$4:R$153),2,IF(Data!R72&lt;=QUARTILE(Data!R$4:R$153,3),3,4)))</f>
        <v>4</v>
      </c>
      <c r="S72" s="8">
        <f>IF(Data!S72&lt;=QUARTILE(Data!S$4:S$153,1),1,IF(Data!S72&lt;=MEDIAN(Data!S$4:S$153),2,IF(Data!S72&lt;=QUARTILE(Data!S$4:S$153,3),3,4)))</f>
        <v>4</v>
      </c>
      <c r="T72" s="9">
        <f>IF(Data!T72&lt;=QUARTILE(Data!T$4:T$153,1),1,IF(Data!T72&lt;=MEDIAN(Data!T$4:T$153),2,IF(Data!T72&lt;=QUARTILE(Data!T$4:T$153,3),3,4)))</f>
        <v>4</v>
      </c>
      <c r="U72" s="7">
        <f>IF(Data!U72&lt;=QUARTILE(Data!U$4:U$153,1),1,IF(Data!U72&lt;=MEDIAN(Data!U$4:U$153),2,IF(Data!U72&lt;=QUARTILE(Data!U$4:U$153,3),3,4)))</f>
        <v>4</v>
      </c>
      <c r="V72" s="8">
        <f>IF(Data!V72&lt;=QUARTILE(Data!V$4:V$153,1),1,IF(Data!V72&lt;=MEDIAN(Data!V$4:V$153),2,IF(Data!V72&lt;=QUARTILE(Data!V$4:V$153,3),3,4)))</f>
        <v>4</v>
      </c>
      <c r="W72" s="8">
        <f>IF(Data!W72&lt;=QUARTILE(Data!W$4:W$153,1),1,IF(Data!W72&lt;=MEDIAN(Data!W$4:W$153),2,IF(Data!W72&lt;=QUARTILE(Data!W$4:W$153,3),3,4)))</f>
        <v>4</v>
      </c>
      <c r="X72" s="8">
        <f>IF(Data!X72&lt;=QUARTILE(Data!X$4:X$153,1),1,IF(Data!X72&lt;=MEDIAN(Data!X$4:X$153),2,IF(Data!X72&lt;=QUARTILE(Data!X$4:X$153,3),3,4)))</f>
        <v>4</v>
      </c>
      <c r="Y72" s="8">
        <f>IF(Data!Y72&lt;=QUARTILE(Data!Y$4:Y$153,1),1,IF(Data!Y72&lt;=MEDIAN(Data!Y$4:Y$153),2,IF(Data!Y72&lt;=QUARTILE(Data!Y$4:Y$153,3),3,4)))</f>
        <v>4</v>
      </c>
      <c r="Z72" s="8">
        <f>IF(Data!Z72&lt;=QUARTILE(Data!Z$4:Z$153,1),1,IF(Data!Z72&lt;=MEDIAN(Data!Z$4:Z$153),2,IF(Data!Z72&lt;=QUARTILE(Data!Z$4:Z$153,3),3,4)))</f>
        <v>4</v>
      </c>
      <c r="AA72" s="8">
        <f>IF(Data!AA72&lt;=QUARTILE(Data!AA$4:AA$153,1),1,IF(Data!AA72&lt;=MEDIAN(Data!AA$4:AA$153),2,IF(Data!AA72&lt;=QUARTILE(Data!AA$4:AA$153,3),3,4)))</f>
        <v>4</v>
      </c>
      <c r="AB72" s="8">
        <f>IF(Data!AB72&lt;=QUARTILE(Data!AB$4:AB$153,1),1,IF(Data!AB72&lt;=MEDIAN(Data!AB$4:AB$153),2,IF(Data!AB72&lt;=QUARTILE(Data!AB$4:AB$153,3),3,4)))</f>
        <v>4</v>
      </c>
      <c r="AC72" s="8">
        <f>IF(Data!AC72&lt;=QUARTILE(Data!AC$4:AC$153,1),1,IF(Data!AC72&lt;=MEDIAN(Data!AC$4:AC$153),2,IF(Data!AC72&lt;=QUARTILE(Data!AC$4:AC$153,3),3,4)))</f>
        <v>4</v>
      </c>
      <c r="AD72" s="8">
        <f>IF(Data!AD72&lt;=QUARTILE(Data!AD$4:AD$153,1),1,IF(Data!AD72&lt;=MEDIAN(Data!AD$4:AD$153),2,IF(Data!AD72&lt;=QUARTILE(Data!AD$4:AD$153,3),3,4)))</f>
        <v>4</v>
      </c>
      <c r="AE72" s="8">
        <f>IF(Data!AE72&lt;=QUARTILE(Data!AE$4:AE$153,1),1,IF(Data!AE72&lt;=MEDIAN(Data!AE$4:AE$153),2,IF(Data!AE72&lt;=QUARTILE(Data!AE$4:AE$153,3),3,4)))</f>
        <v>3</v>
      </c>
      <c r="AF72" s="8">
        <f>IF(Data!AF72&lt;=QUARTILE(Data!AF$4:AF$153,1),1,IF(Data!AF72&lt;=MEDIAN(Data!AF$4:AF$153),2,IF(Data!AF72&lt;=QUARTILE(Data!AF$4:AF$153,3),3,4)))</f>
        <v>4</v>
      </c>
      <c r="AG72" s="8">
        <f>IF(Data!AG72&lt;=QUARTILE(Data!AG$4:AG$153,1),1,IF(Data!AG72&lt;=MEDIAN(Data!AG$4:AG$153),2,IF(Data!AG72&lt;=QUARTILE(Data!AG$4:AG$153,3),3,4)))</f>
        <v>3</v>
      </c>
      <c r="AH72" s="9">
        <f>IF(Data!AH72&lt;=QUARTILE(Data!AH$4:AH$153,1),1,IF(Data!AH72&lt;=MEDIAN(Data!AH$4:AH$153),2,IF(Data!AH72&lt;=QUARTILE(Data!AH$4:AH$153,3),3,4)))</f>
        <v>4</v>
      </c>
    </row>
    <row r="73" spans="1:34" x14ac:dyDescent="0.25">
      <c r="A73" s="7" t="s">
        <v>65</v>
      </c>
      <c r="B73" s="14" t="s">
        <v>64</v>
      </c>
      <c r="C73" s="7">
        <v>52</v>
      </c>
      <c r="D73" s="8">
        <v>30</v>
      </c>
      <c r="E73" s="42" t="s">
        <v>58</v>
      </c>
      <c r="F73" s="9">
        <v>5.04</v>
      </c>
      <c r="G73" s="7">
        <f>IF(Data!G73&lt;=QUARTILE(Data!G$4:G$153,1),1,IF(Data!G73&lt;=MEDIAN(Data!G$4:G$153),2,IF(Data!G73&lt;=QUARTILE(Data!G$4:G$153,3),3,4)))</f>
        <v>1</v>
      </c>
      <c r="H73" s="8">
        <f>IF(Data!H73&lt;=QUARTILE(Data!H$4:H$153,1),1,IF(Data!H73&lt;=MEDIAN(Data!H$4:H$153),2,IF(Data!H73&lt;=QUARTILE(Data!H$4:H$153,3),3,4)))</f>
        <v>2</v>
      </c>
      <c r="I73" s="8">
        <f>IF(Data!I73&lt;=QUARTILE(Data!I$4:I$153,1),1,IF(Data!I73&lt;=MEDIAN(Data!I$4:I$153),2,IF(Data!I73&lt;=QUARTILE(Data!I$4:I$153,3),3,4)))</f>
        <v>4</v>
      </c>
      <c r="J73" s="8">
        <f>IF(Data!J73&lt;=QUARTILE(Data!J$4:J$153,1),1,IF(Data!J73&lt;=MEDIAN(Data!J$4:J$153),2,IF(Data!J73&lt;=QUARTILE(Data!J$4:J$153,3),3,4)))</f>
        <v>4</v>
      </c>
      <c r="K73" s="8">
        <f>IF(Data!K73&lt;=QUARTILE(Data!K$4:K$153,1),1,IF(Data!K73&lt;=MEDIAN(Data!K$4:K$153),2,IF(Data!K73&lt;=QUARTILE(Data!K$4:K$153,3),3,4)))</f>
        <v>1</v>
      </c>
      <c r="L73" s="8">
        <f>IF(Data!L73&lt;=QUARTILE(Data!L$4:L$153,1),1,IF(Data!L73&lt;=MEDIAN(Data!L$4:L$153),2,IF(Data!L73&lt;=QUARTILE(Data!L$4:L$153,3),3,4)))</f>
        <v>1</v>
      </c>
      <c r="M73" s="8">
        <f>IF(Data!M73&lt;=QUARTILE(Data!M$4:M$153,1),1,IF(Data!M73&lt;=MEDIAN(Data!M$4:M$153),2,IF(Data!M73&lt;=QUARTILE(Data!M$4:M$153,3),3,4)))</f>
        <v>2</v>
      </c>
      <c r="N73" s="8">
        <f>IF(Data!N73&lt;=QUARTILE(Data!N$4:N$153,1),1,IF(Data!N73&lt;=MEDIAN(Data!N$4:N$153),2,IF(Data!N73&lt;=QUARTILE(Data!N$4:N$153,3),3,4)))</f>
        <v>4</v>
      </c>
      <c r="O73" s="8">
        <f>IF(Data!O73&lt;=QUARTILE(Data!O$4:O$153,1),1,IF(Data!O73&lt;=MEDIAN(Data!O$4:O$153),2,IF(Data!O73&lt;=QUARTILE(Data!O$4:O$153,3),3,4)))</f>
        <v>2</v>
      </c>
      <c r="P73" s="8">
        <f>IF(Data!P73&lt;=QUARTILE(Data!P$4:P$153,1),1,IF(Data!P73&lt;=MEDIAN(Data!P$4:P$153),2,IF(Data!P73&lt;=QUARTILE(Data!P$4:P$153,3),3,4)))</f>
        <v>2</v>
      </c>
      <c r="Q73" s="8">
        <f>IF(Data!Q73&lt;=QUARTILE(Data!Q$4:Q$153,1),1,IF(Data!Q73&lt;=MEDIAN(Data!Q$4:Q$153),2,IF(Data!Q73&lt;=QUARTILE(Data!Q$4:Q$153,3),3,4)))</f>
        <v>1</v>
      </c>
      <c r="R73" s="8">
        <f>IF(Data!R73&lt;=QUARTILE(Data!R$4:R$153,1),1,IF(Data!R73&lt;=MEDIAN(Data!R$4:R$153),2,IF(Data!R73&lt;=QUARTILE(Data!R$4:R$153,3),3,4)))</f>
        <v>2</v>
      </c>
      <c r="S73" s="8">
        <f>IF(Data!S73&lt;=QUARTILE(Data!S$4:S$153,1),1,IF(Data!S73&lt;=MEDIAN(Data!S$4:S$153),2,IF(Data!S73&lt;=QUARTILE(Data!S$4:S$153,3),3,4)))</f>
        <v>2</v>
      </c>
      <c r="T73" s="9">
        <f>IF(Data!T73&lt;=QUARTILE(Data!T$4:T$153,1),1,IF(Data!T73&lt;=MEDIAN(Data!T$4:T$153),2,IF(Data!T73&lt;=QUARTILE(Data!T$4:T$153,3),3,4)))</f>
        <v>2</v>
      </c>
      <c r="U73" s="7">
        <f>IF(Data!U73&lt;=QUARTILE(Data!U$4:U$153,1),1,IF(Data!U73&lt;=MEDIAN(Data!U$4:U$153),2,IF(Data!U73&lt;=QUARTILE(Data!U$4:U$153,3),3,4)))</f>
        <v>1</v>
      </c>
      <c r="V73" s="8">
        <f>IF(Data!V73&lt;=QUARTILE(Data!V$4:V$153,1),1,IF(Data!V73&lt;=MEDIAN(Data!V$4:V$153),2,IF(Data!V73&lt;=QUARTILE(Data!V$4:V$153,3),3,4)))</f>
        <v>2</v>
      </c>
      <c r="W73" s="8">
        <f>IF(Data!W73&lt;=QUARTILE(Data!W$4:W$153,1),1,IF(Data!W73&lt;=MEDIAN(Data!W$4:W$153),2,IF(Data!W73&lt;=QUARTILE(Data!W$4:W$153,3),3,4)))</f>
        <v>2</v>
      </c>
      <c r="X73" s="8">
        <f>IF(Data!X73&lt;=QUARTILE(Data!X$4:X$153,1),1,IF(Data!X73&lt;=MEDIAN(Data!X$4:X$153),2,IF(Data!X73&lt;=QUARTILE(Data!X$4:X$153,3),3,4)))</f>
        <v>2</v>
      </c>
      <c r="Y73" s="8">
        <f>IF(Data!Y73&lt;=QUARTILE(Data!Y$4:Y$153,1),1,IF(Data!Y73&lt;=MEDIAN(Data!Y$4:Y$153),2,IF(Data!Y73&lt;=QUARTILE(Data!Y$4:Y$153,3),3,4)))</f>
        <v>2</v>
      </c>
      <c r="Z73" s="8">
        <f>IF(Data!Z73&lt;=QUARTILE(Data!Z$4:Z$153,1),1,IF(Data!Z73&lt;=MEDIAN(Data!Z$4:Z$153),2,IF(Data!Z73&lt;=QUARTILE(Data!Z$4:Z$153,3),3,4)))</f>
        <v>2</v>
      </c>
      <c r="AA73" s="8">
        <f>IF(Data!AA73&lt;=QUARTILE(Data!AA$4:AA$153,1),1,IF(Data!AA73&lt;=MEDIAN(Data!AA$4:AA$153),2,IF(Data!AA73&lt;=QUARTILE(Data!AA$4:AA$153,3),3,4)))</f>
        <v>1</v>
      </c>
      <c r="AB73" s="8">
        <f>IF(Data!AB73&lt;=QUARTILE(Data!AB$4:AB$153,1),1,IF(Data!AB73&lt;=MEDIAN(Data!AB$4:AB$153),2,IF(Data!AB73&lt;=QUARTILE(Data!AB$4:AB$153,3),3,4)))</f>
        <v>4</v>
      </c>
      <c r="AC73" s="8">
        <f>IF(Data!AC73&lt;=QUARTILE(Data!AC$4:AC$153,1),1,IF(Data!AC73&lt;=MEDIAN(Data!AC$4:AC$153),2,IF(Data!AC73&lt;=QUARTILE(Data!AC$4:AC$153,3),3,4)))</f>
        <v>1</v>
      </c>
      <c r="AD73" s="8">
        <f>IF(Data!AD73&lt;=QUARTILE(Data!AD$4:AD$153,1),1,IF(Data!AD73&lt;=MEDIAN(Data!AD$4:AD$153),2,IF(Data!AD73&lt;=QUARTILE(Data!AD$4:AD$153,3),3,4)))</f>
        <v>2</v>
      </c>
      <c r="AE73" s="8">
        <f>IF(Data!AE73&lt;=QUARTILE(Data!AE$4:AE$153,1),1,IF(Data!AE73&lt;=MEDIAN(Data!AE$4:AE$153),2,IF(Data!AE73&lt;=QUARTILE(Data!AE$4:AE$153,3),3,4)))</f>
        <v>1</v>
      </c>
      <c r="AF73" s="8">
        <f>IF(Data!AF73&lt;=QUARTILE(Data!AF$4:AF$153,1),1,IF(Data!AF73&lt;=MEDIAN(Data!AF$4:AF$153),2,IF(Data!AF73&lt;=QUARTILE(Data!AF$4:AF$153,3),3,4)))</f>
        <v>2</v>
      </c>
      <c r="AG73" s="8">
        <f>IF(Data!AG73&lt;=QUARTILE(Data!AG$4:AG$153,1),1,IF(Data!AG73&lt;=MEDIAN(Data!AG$4:AG$153),2,IF(Data!AG73&lt;=QUARTILE(Data!AG$4:AG$153,3),3,4)))</f>
        <v>1</v>
      </c>
      <c r="AH73" s="9">
        <f>IF(Data!AH73&lt;=QUARTILE(Data!AH$4:AH$153,1),1,IF(Data!AH73&lt;=MEDIAN(Data!AH$4:AH$153),2,IF(Data!AH73&lt;=QUARTILE(Data!AH$4:AH$153,3),3,4)))</f>
        <v>1</v>
      </c>
    </row>
    <row r="74" spans="1:34" x14ac:dyDescent="0.25">
      <c r="A74" s="7" t="s">
        <v>19</v>
      </c>
      <c r="B74" s="14" t="s">
        <v>64</v>
      </c>
      <c r="C74" s="7">
        <v>35</v>
      </c>
      <c r="D74" s="8">
        <v>47</v>
      </c>
      <c r="E74" s="42" t="s">
        <v>59</v>
      </c>
      <c r="F74" s="9">
        <v>-2.62</v>
      </c>
      <c r="G74" s="7">
        <f>IF(Data!G74&lt;=QUARTILE(Data!G$4:G$153,1),1,IF(Data!G74&lt;=MEDIAN(Data!G$4:G$153),2,IF(Data!G74&lt;=QUARTILE(Data!G$4:G$153,3),3,4)))</f>
        <v>1</v>
      </c>
      <c r="H74" s="8">
        <f>IF(Data!H74&lt;=QUARTILE(Data!H$4:H$153,1),1,IF(Data!H74&lt;=MEDIAN(Data!H$4:H$153),2,IF(Data!H74&lt;=QUARTILE(Data!H$4:H$153,3),3,4)))</f>
        <v>3</v>
      </c>
      <c r="I74" s="8">
        <f>IF(Data!I74&lt;=QUARTILE(Data!I$4:I$153,1),1,IF(Data!I74&lt;=MEDIAN(Data!I$4:I$153),2,IF(Data!I74&lt;=QUARTILE(Data!I$4:I$153,3),3,4)))</f>
        <v>2</v>
      </c>
      <c r="J74" s="8">
        <f>IF(Data!J74&lt;=QUARTILE(Data!J$4:J$153,1),1,IF(Data!J74&lt;=MEDIAN(Data!J$4:J$153),2,IF(Data!J74&lt;=QUARTILE(Data!J$4:J$153,3),3,4)))</f>
        <v>2</v>
      </c>
      <c r="K74" s="8">
        <f>IF(Data!K74&lt;=QUARTILE(Data!K$4:K$153,1),1,IF(Data!K74&lt;=MEDIAN(Data!K$4:K$153),2,IF(Data!K74&lt;=QUARTILE(Data!K$4:K$153,3),3,4)))</f>
        <v>3</v>
      </c>
      <c r="L74" s="8">
        <f>IF(Data!L74&lt;=QUARTILE(Data!L$4:L$153,1),1,IF(Data!L74&lt;=MEDIAN(Data!L$4:L$153),2,IF(Data!L74&lt;=QUARTILE(Data!L$4:L$153,3),3,4)))</f>
        <v>3</v>
      </c>
      <c r="M74" s="8">
        <f>IF(Data!M74&lt;=QUARTILE(Data!M$4:M$153,1),1,IF(Data!M74&lt;=MEDIAN(Data!M$4:M$153),2,IF(Data!M74&lt;=QUARTILE(Data!M$4:M$153,3),3,4)))</f>
        <v>3</v>
      </c>
      <c r="N74" s="8">
        <f>IF(Data!N74&lt;=QUARTILE(Data!N$4:N$153,1),1,IF(Data!N74&lt;=MEDIAN(Data!N$4:N$153),2,IF(Data!N74&lt;=QUARTILE(Data!N$4:N$153,3),3,4)))</f>
        <v>2</v>
      </c>
      <c r="O74" s="8">
        <f>IF(Data!O74&lt;=QUARTILE(Data!O$4:O$153,1),1,IF(Data!O74&lt;=MEDIAN(Data!O$4:O$153),2,IF(Data!O74&lt;=QUARTILE(Data!O$4:O$153,3),3,4)))</f>
        <v>2</v>
      </c>
      <c r="P74" s="8">
        <f>IF(Data!P74&lt;=QUARTILE(Data!P$4:P$153,1),1,IF(Data!P74&lt;=MEDIAN(Data!P$4:P$153),2,IF(Data!P74&lt;=QUARTILE(Data!P$4:P$153,3),3,4)))</f>
        <v>3</v>
      </c>
      <c r="Q74" s="8">
        <f>IF(Data!Q74&lt;=QUARTILE(Data!Q$4:Q$153,1),1,IF(Data!Q74&lt;=MEDIAN(Data!Q$4:Q$153),2,IF(Data!Q74&lt;=QUARTILE(Data!Q$4:Q$153,3),3,4)))</f>
        <v>4</v>
      </c>
      <c r="R74" s="8">
        <f>IF(Data!R74&lt;=QUARTILE(Data!R$4:R$153,1),1,IF(Data!R74&lt;=MEDIAN(Data!R$4:R$153),2,IF(Data!R74&lt;=QUARTILE(Data!R$4:R$153,3),3,4)))</f>
        <v>4</v>
      </c>
      <c r="S74" s="8">
        <f>IF(Data!S74&lt;=QUARTILE(Data!S$4:S$153,1),1,IF(Data!S74&lt;=MEDIAN(Data!S$4:S$153),2,IF(Data!S74&lt;=QUARTILE(Data!S$4:S$153,3),3,4)))</f>
        <v>4</v>
      </c>
      <c r="T74" s="9">
        <f>IF(Data!T74&lt;=QUARTILE(Data!T$4:T$153,1),1,IF(Data!T74&lt;=MEDIAN(Data!T$4:T$153),2,IF(Data!T74&lt;=QUARTILE(Data!T$4:T$153,3),3,4)))</f>
        <v>1</v>
      </c>
      <c r="U74" s="7">
        <f>IF(Data!U74&lt;=QUARTILE(Data!U$4:U$153,1),1,IF(Data!U74&lt;=MEDIAN(Data!U$4:U$153),2,IF(Data!U74&lt;=QUARTILE(Data!U$4:U$153,3),3,4)))</f>
        <v>2</v>
      </c>
      <c r="V74" s="8">
        <f>IF(Data!V74&lt;=QUARTILE(Data!V$4:V$153,1),1,IF(Data!V74&lt;=MEDIAN(Data!V$4:V$153),2,IF(Data!V74&lt;=QUARTILE(Data!V$4:V$153,3),3,4)))</f>
        <v>1</v>
      </c>
      <c r="W74" s="8">
        <f>IF(Data!W74&lt;=QUARTILE(Data!W$4:W$153,1),1,IF(Data!W74&lt;=MEDIAN(Data!W$4:W$153),2,IF(Data!W74&lt;=QUARTILE(Data!W$4:W$153,3),3,4)))</f>
        <v>1</v>
      </c>
      <c r="X74" s="8">
        <f>IF(Data!X74&lt;=QUARTILE(Data!X$4:X$153,1),1,IF(Data!X74&lt;=MEDIAN(Data!X$4:X$153),2,IF(Data!X74&lt;=QUARTILE(Data!X$4:X$153,3),3,4)))</f>
        <v>1</v>
      </c>
      <c r="Y74" s="8">
        <f>IF(Data!Y74&lt;=QUARTILE(Data!Y$4:Y$153,1),1,IF(Data!Y74&lt;=MEDIAN(Data!Y$4:Y$153),2,IF(Data!Y74&lt;=QUARTILE(Data!Y$4:Y$153,3),3,4)))</f>
        <v>4</v>
      </c>
      <c r="Z74" s="8">
        <f>IF(Data!Z74&lt;=QUARTILE(Data!Z$4:Z$153,1),1,IF(Data!Z74&lt;=MEDIAN(Data!Z$4:Z$153),2,IF(Data!Z74&lt;=QUARTILE(Data!Z$4:Z$153,3),3,4)))</f>
        <v>4</v>
      </c>
      <c r="AA74" s="8">
        <f>IF(Data!AA74&lt;=QUARTILE(Data!AA$4:AA$153,1),1,IF(Data!AA74&lt;=MEDIAN(Data!AA$4:AA$153),2,IF(Data!AA74&lt;=QUARTILE(Data!AA$4:AA$153,3),3,4)))</f>
        <v>2</v>
      </c>
      <c r="AB74" s="8">
        <f>IF(Data!AB74&lt;=QUARTILE(Data!AB$4:AB$153,1),1,IF(Data!AB74&lt;=MEDIAN(Data!AB$4:AB$153),2,IF(Data!AB74&lt;=QUARTILE(Data!AB$4:AB$153,3),3,4)))</f>
        <v>3</v>
      </c>
      <c r="AC74" s="8">
        <f>IF(Data!AC74&lt;=QUARTILE(Data!AC$4:AC$153,1),1,IF(Data!AC74&lt;=MEDIAN(Data!AC$4:AC$153),2,IF(Data!AC74&lt;=QUARTILE(Data!AC$4:AC$153,3),3,4)))</f>
        <v>2</v>
      </c>
      <c r="AD74" s="8">
        <f>IF(Data!AD74&lt;=QUARTILE(Data!AD$4:AD$153,1),1,IF(Data!AD74&lt;=MEDIAN(Data!AD$4:AD$153),2,IF(Data!AD74&lt;=QUARTILE(Data!AD$4:AD$153,3),3,4)))</f>
        <v>4</v>
      </c>
      <c r="AE74" s="8">
        <f>IF(Data!AE74&lt;=QUARTILE(Data!AE$4:AE$153,1),1,IF(Data!AE74&lt;=MEDIAN(Data!AE$4:AE$153),2,IF(Data!AE74&lt;=QUARTILE(Data!AE$4:AE$153,3),3,4)))</f>
        <v>3</v>
      </c>
      <c r="AF74" s="8">
        <f>IF(Data!AF74&lt;=QUARTILE(Data!AF$4:AF$153,1),1,IF(Data!AF74&lt;=MEDIAN(Data!AF$4:AF$153),2,IF(Data!AF74&lt;=QUARTILE(Data!AF$4:AF$153,3),3,4)))</f>
        <v>4</v>
      </c>
      <c r="AG74" s="8">
        <f>IF(Data!AG74&lt;=QUARTILE(Data!AG$4:AG$153,1),1,IF(Data!AG74&lt;=MEDIAN(Data!AG$4:AG$153),2,IF(Data!AG74&lt;=QUARTILE(Data!AG$4:AG$153,3),3,4)))</f>
        <v>4</v>
      </c>
      <c r="AH74" s="9">
        <f>IF(Data!AH74&lt;=QUARTILE(Data!AH$4:AH$153,1),1,IF(Data!AH74&lt;=MEDIAN(Data!AH$4:AH$153),2,IF(Data!AH74&lt;=QUARTILE(Data!AH$4:AH$153,3),3,4)))</f>
        <v>2</v>
      </c>
    </row>
    <row r="75" spans="1:34" x14ac:dyDescent="0.25">
      <c r="A75" s="7" t="s">
        <v>27</v>
      </c>
      <c r="B75" s="14" t="s">
        <v>64</v>
      </c>
      <c r="C75" s="7">
        <v>40</v>
      </c>
      <c r="D75" s="8">
        <v>42</v>
      </c>
      <c r="E75" s="42" t="s">
        <v>59</v>
      </c>
      <c r="F75" s="9">
        <v>-0.08</v>
      </c>
      <c r="G75" s="7">
        <f>IF(Data!G75&lt;=QUARTILE(Data!G$4:G$153,1),1,IF(Data!G75&lt;=MEDIAN(Data!G$4:G$153),2,IF(Data!G75&lt;=QUARTILE(Data!G$4:G$153,3),3,4)))</f>
        <v>1</v>
      </c>
      <c r="H75" s="8">
        <f>IF(Data!H75&lt;=QUARTILE(Data!H$4:H$153,1),1,IF(Data!H75&lt;=MEDIAN(Data!H$4:H$153),2,IF(Data!H75&lt;=QUARTILE(Data!H$4:H$153,3),3,4)))</f>
        <v>1</v>
      </c>
      <c r="I75" s="8">
        <f>IF(Data!I75&lt;=QUARTILE(Data!I$4:I$153,1),1,IF(Data!I75&lt;=MEDIAN(Data!I$4:I$153),2,IF(Data!I75&lt;=QUARTILE(Data!I$4:I$153,3),3,4)))</f>
        <v>1</v>
      </c>
      <c r="J75" s="8">
        <f>IF(Data!J75&lt;=QUARTILE(Data!J$4:J$153,1),1,IF(Data!J75&lt;=MEDIAN(Data!J$4:J$153),2,IF(Data!J75&lt;=QUARTILE(Data!J$4:J$153,3),3,4)))</f>
        <v>1</v>
      </c>
      <c r="K75" s="8">
        <f>IF(Data!K75&lt;=QUARTILE(Data!K$4:K$153,1),1,IF(Data!K75&lt;=MEDIAN(Data!K$4:K$153),2,IF(Data!K75&lt;=QUARTILE(Data!K$4:K$153,3),3,4)))</f>
        <v>4</v>
      </c>
      <c r="L75" s="8">
        <f>IF(Data!L75&lt;=QUARTILE(Data!L$4:L$153,1),1,IF(Data!L75&lt;=MEDIAN(Data!L$4:L$153),2,IF(Data!L75&lt;=QUARTILE(Data!L$4:L$153,3),3,4)))</f>
        <v>4</v>
      </c>
      <c r="M75" s="8">
        <f>IF(Data!M75&lt;=QUARTILE(Data!M$4:M$153,1),1,IF(Data!M75&lt;=MEDIAN(Data!M$4:M$153),2,IF(Data!M75&lt;=QUARTILE(Data!M$4:M$153,3),3,4)))</f>
        <v>2</v>
      </c>
      <c r="N75" s="8">
        <f>IF(Data!N75&lt;=QUARTILE(Data!N$4:N$153,1),1,IF(Data!N75&lt;=MEDIAN(Data!N$4:N$153),2,IF(Data!N75&lt;=QUARTILE(Data!N$4:N$153,3),3,4)))</f>
        <v>3</v>
      </c>
      <c r="O75" s="8">
        <f>IF(Data!O75&lt;=QUARTILE(Data!O$4:O$153,1),1,IF(Data!O75&lt;=MEDIAN(Data!O$4:O$153),2,IF(Data!O75&lt;=QUARTILE(Data!O$4:O$153,3),3,4)))</f>
        <v>3</v>
      </c>
      <c r="P75" s="8">
        <f>IF(Data!P75&lt;=QUARTILE(Data!P$4:P$153,1),1,IF(Data!P75&lt;=MEDIAN(Data!P$4:P$153),2,IF(Data!P75&lt;=QUARTILE(Data!P$4:P$153,3),3,4)))</f>
        <v>3</v>
      </c>
      <c r="Q75" s="8">
        <f>IF(Data!Q75&lt;=QUARTILE(Data!Q$4:Q$153,1),1,IF(Data!Q75&lt;=MEDIAN(Data!Q$4:Q$153),2,IF(Data!Q75&lt;=QUARTILE(Data!Q$4:Q$153,3),3,4)))</f>
        <v>4</v>
      </c>
      <c r="R75" s="8">
        <f>IF(Data!R75&lt;=QUARTILE(Data!R$4:R$153,1),1,IF(Data!R75&lt;=MEDIAN(Data!R$4:R$153),2,IF(Data!R75&lt;=QUARTILE(Data!R$4:R$153,3),3,4)))</f>
        <v>3</v>
      </c>
      <c r="S75" s="8">
        <f>IF(Data!S75&lt;=QUARTILE(Data!S$4:S$153,1),1,IF(Data!S75&lt;=MEDIAN(Data!S$4:S$153),2,IF(Data!S75&lt;=QUARTILE(Data!S$4:S$153,3),3,4)))</f>
        <v>3</v>
      </c>
      <c r="T75" s="9">
        <f>IF(Data!T75&lt;=QUARTILE(Data!T$4:T$153,1),1,IF(Data!T75&lt;=MEDIAN(Data!T$4:T$153),2,IF(Data!T75&lt;=QUARTILE(Data!T$4:T$153,3),3,4)))</f>
        <v>2</v>
      </c>
      <c r="U75" s="7">
        <f>IF(Data!U75&lt;=QUARTILE(Data!U$4:U$153,1),1,IF(Data!U75&lt;=MEDIAN(Data!U$4:U$153),2,IF(Data!U75&lt;=QUARTILE(Data!U$4:U$153,3),3,4)))</f>
        <v>2</v>
      </c>
      <c r="V75" s="8">
        <f>IF(Data!V75&lt;=QUARTILE(Data!V$4:V$153,1),1,IF(Data!V75&lt;=MEDIAN(Data!V$4:V$153),2,IF(Data!V75&lt;=QUARTILE(Data!V$4:V$153,3),3,4)))</f>
        <v>2</v>
      </c>
      <c r="W75" s="8">
        <f>IF(Data!W75&lt;=QUARTILE(Data!W$4:W$153,1),1,IF(Data!W75&lt;=MEDIAN(Data!W$4:W$153),2,IF(Data!W75&lt;=QUARTILE(Data!W$4:W$153,3),3,4)))</f>
        <v>1</v>
      </c>
      <c r="X75" s="8">
        <f>IF(Data!X75&lt;=QUARTILE(Data!X$4:X$153,1),1,IF(Data!X75&lt;=MEDIAN(Data!X$4:X$153),2,IF(Data!X75&lt;=QUARTILE(Data!X$4:X$153,3),3,4)))</f>
        <v>2</v>
      </c>
      <c r="Y75" s="8">
        <f>IF(Data!Y75&lt;=QUARTILE(Data!Y$4:Y$153,1),1,IF(Data!Y75&lt;=MEDIAN(Data!Y$4:Y$153),2,IF(Data!Y75&lt;=QUARTILE(Data!Y$4:Y$153,3),3,4)))</f>
        <v>3</v>
      </c>
      <c r="Z75" s="8">
        <f>IF(Data!Z75&lt;=QUARTILE(Data!Z$4:Z$153,1),1,IF(Data!Z75&lt;=MEDIAN(Data!Z$4:Z$153),2,IF(Data!Z75&lt;=QUARTILE(Data!Z$4:Z$153,3),3,4)))</f>
        <v>3</v>
      </c>
      <c r="AA75" s="8">
        <f>IF(Data!AA75&lt;=QUARTILE(Data!AA$4:AA$153,1),1,IF(Data!AA75&lt;=MEDIAN(Data!AA$4:AA$153),2,IF(Data!AA75&lt;=QUARTILE(Data!AA$4:AA$153,3),3,4)))</f>
        <v>1</v>
      </c>
      <c r="AB75" s="8">
        <f>IF(Data!AB75&lt;=QUARTILE(Data!AB$4:AB$153,1),1,IF(Data!AB75&lt;=MEDIAN(Data!AB$4:AB$153),2,IF(Data!AB75&lt;=QUARTILE(Data!AB$4:AB$153,3),3,4)))</f>
        <v>1</v>
      </c>
      <c r="AC75" s="8">
        <f>IF(Data!AC75&lt;=QUARTILE(Data!AC$4:AC$153,1),1,IF(Data!AC75&lt;=MEDIAN(Data!AC$4:AC$153),2,IF(Data!AC75&lt;=QUARTILE(Data!AC$4:AC$153,3),3,4)))</f>
        <v>2</v>
      </c>
      <c r="AD75" s="8">
        <f>IF(Data!AD75&lt;=QUARTILE(Data!AD$4:AD$153,1),1,IF(Data!AD75&lt;=MEDIAN(Data!AD$4:AD$153),2,IF(Data!AD75&lt;=QUARTILE(Data!AD$4:AD$153,3),3,4)))</f>
        <v>2</v>
      </c>
      <c r="AE75" s="8">
        <f>IF(Data!AE75&lt;=QUARTILE(Data!AE$4:AE$153,1),1,IF(Data!AE75&lt;=MEDIAN(Data!AE$4:AE$153),2,IF(Data!AE75&lt;=QUARTILE(Data!AE$4:AE$153,3),3,4)))</f>
        <v>1</v>
      </c>
      <c r="AF75" s="8">
        <f>IF(Data!AF75&lt;=QUARTILE(Data!AF$4:AF$153,1),1,IF(Data!AF75&lt;=MEDIAN(Data!AF$4:AF$153),2,IF(Data!AF75&lt;=QUARTILE(Data!AF$4:AF$153,3),3,4)))</f>
        <v>2</v>
      </c>
      <c r="AG75" s="8">
        <f>IF(Data!AG75&lt;=QUARTILE(Data!AG$4:AG$153,1),1,IF(Data!AG75&lt;=MEDIAN(Data!AG$4:AG$153),2,IF(Data!AG75&lt;=QUARTILE(Data!AG$4:AG$153,3),3,4)))</f>
        <v>3</v>
      </c>
      <c r="AH75" s="9">
        <f>IF(Data!AH75&lt;=QUARTILE(Data!AH$4:AH$153,1),1,IF(Data!AH75&lt;=MEDIAN(Data!AH$4:AH$153),2,IF(Data!AH75&lt;=QUARTILE(Data!AH$4:AH$153,3),3,4)))</f>
        <v>2</v>
      </c>
    </row>
    <row r="76" spans="1:34" x14ac:dyDescent="0.25">
      <c r="A76" s="7" t="s">
        <v>70</v>
      </c>
      <c r="B76" s="14" t="s">
        <v>64</v>
      </c>
      <c r="C76" s="7">
        <v>42</v>
      </c>
      <c r="D76" s="8">
        <v>40</v>
      </c>
      <c r="E76" s="42" t="s">
        <v>58</v>
      </c>
      <c r="F76" s="9">
        <v>0.24</v>
      </c>
      <c r="G76" s="7">
        <f>IF(Data!G76&lt;=QUARTILE(Data!G$4:G$153,1),1,IF(Data!G76&lt;=MEDIAN(Data!G$4:G$153),2,IF(Data!G76&lt;=QUARTILE(Data!G$4:G$153,3),3,4)))</f>
        <v>4</v>
      </c>
      <c r="H76" s="8">
        <f>IF(Data!H76&lt;=QUARTILE(Data!H$4:H$153,1),1,IF(Data!H76&lt;=MEDIAN(Data!H$4:H$153),2,IF(Data!H76&lt;=QUARTILE(Data!H$4:H$153,3),3,4)))</f>
        <v>3</v>
      </c>
      <c r="I76" s="8">
        <f>IF(Data!I76&lt;=QUARTILE(Data!I$4:I$153,1),1,IF(Data!I76&lt;=MEDIAN(Data!I$4:I$153),2,IF(Data!I76&lt;=QUARTILE(Data!I$4:I$153,3),3,4)))</f>
        <v>4</v>
      </c>
      <c r="J76" s="8">
        <f>IF(Data!J76&lt;=QUARTILE(Data!J$4:J$153,1),1,IF(Data!J76&lt;=MEDIAN(Data!J$4:J$153),2,IF(Data!J76&lt;=QUARTILE(Data!J$4:J$153,3),3,4)))</f>
        <v>4</v>
      </c>
      <c r="K76" s="8">
        <f>IF(Data!K76&lt;=QUARTILE(Data!K$4:K$153,1),1,IF(Data!K76&lt;=MEDIAN(Data!K$4:K$153),2,IF(Data!K76&lt;=QUARTILE(Data!K$4:K$153,3),3,4)))</f>
        <v>3</v>
      </c>
      <c r="L76" s="8">
        <f>IF(Data!L76&lt;=QUARTILE(Data!L$4:L$153,1),1,IF(Data!L76&lt;=MEDIAN(Data!L$4:L$153),2,IF(Data!L76&lt;=QUARTILE(Data!L$4:L$153,3),3,4)))</f>
        <v>3</v>
      </c>
      <c r="M76" s="8">
        <f>IF(Data!M76&lt;=QUARTILE(Data!M$4:M$153,1),1,IF(Data!M76&lt;=MEDIAN(Data!M$4:M$153),2,IF(Data!M76&lt;=QUARTILE(Data!M$4:M$153,3),3,4)))</f>
        <v>2</v>
      </c>
      <c r="N76" s="8">
        <f>IF(Data!N76&lt;=QUARTILE(Data!N$4:N$153,1),1,IF(Data!N76&lt;=MEDIAN(Data!N$4:N$153),2,IF(Data!N76&lt;=QUARTILE(Data!N$4:N$153,3),3,4)))</f>
        <v>3</v>
      </c>
      <c r="O76" s="8">
        <f>IF(Data!O76&lt;=QUARTILE(Data!O$4:O$153,1),1,IF(Data!O76&lt;=MEDIAN(Data!O$4:O$153),2,IF(Data!O76&lt;=QUARTILE(Data!O$4:O$153,3),3,4)))</f>
        <v>4</v>
      </c>
      <c r="P76" s="8">
        <f>IF(Data!P76&lt;=QUARTILE(Data!P$4:P$153,1),1,IF(Data!P76&lt;=MEDIAN(Data!P$4:P$153),2,IF(Data!P76&lt;=QUARTILE(Data!P$4:P$153,3),3,4)))</f>
        <v>3</v>
      </c>
      <c r="Q76" s="8">
        <f>IF(Data!Q76&lt;=QUARTILE(Data!Q$4:Q$153,1),1,IF(Data!Q76&lt;=MEDIAN(Data!Q$4:Q$153),2,IF(Data!Q76&lt;=QUARTILE(Data!Q$4:Q$153,3),3,4)))</f>
        <v>3</v>
      </c>
      <c r="R76" s="8">
        <f>IF(Data!R76&lt;=QUARTILE(Data!R$4:R$153,1),1,IF(Data!R76&lt;=MEDIAN(Data!R$4:R$153),2,IF(Data!R76&lt;=QUARTILE(Data!R$4:R$153,3),3,4)))</f>
        <v>4</v>
      </c>
      <c r="S76" s="8">
        <f>IF(Data!S76&lt;=QUARTILE(Data!S$4:S$153,1),1,IF(Data!S76&lt;=MEDIAN(Data!S$4:S$153),2,IF(Data!S76&lt;=QUARTILE(Data!S$4:S$153,3),3,4)))</f>
        <v>3</v>
      </c>
      <c r="T76" s="9">
        <f>IF(Data!T76&lt;=QUARTILE(Data!T$4:T$153,1),1,IF(Data!T76&lt;=MEDIAN(Data!T$4:T$153),2,IF(Data!T76&lt;=QUARTILE(Data!T$4:T$153,3),3,4)))</f>
        <v>4</v>
      </c>
      <c r="U76" s="7">
        <f>IF(Data!U76&lt;=QUARTILE(Data!U$4:U$153,1),1,IF(Data!U76&lt;=MEDIAN(Data!U$4:U$153),2,IF(Data!U76&lt;=QUARTILE(Data!U$4:U$153,3),3,4)))</f>
        <v>3</v>
      </c>
      <c r="V76" s="8">
        <f>IF(Data!V76&lt;=QUARTILE(Data!V$4:V$153,1),1,IF(Data!V76&lt;=MEDIAN(Data!V$4:V$153),2,IF(Data!V76&lt;=QUARTILE(Data!V$4:V$153,3),3,4)))</f>
        <v>3</v>
      </c>
      <c r="W76" s="8">
        <f>IF(Data!W76&lt;=QUARTILE(Data!W$4:W$153,1),1,IF(Data!W76&lt;=MEDIAN(Data!W$4:W$153),2,IF(Data!W76&lt;=QUARTILE(Data!W$4:W$153,3),3,4)))</f>
        <v>3</v>
      </c>
      <c r="X76" s="8">
        <f>IF(Data!X76&lt;=QUARTILE(Data!X$4:X$153,1),1,IF(Data!X76&lt;=MEDIAN(Data!X$4:X$153),2,IF(Data!X76&lt;=QUARTILE(Data!X$4:X$153,3),3,4)))</f>
        <v>3</v>
      </c>
      <c r="Y76" s="8">
        <f>IF(Data!Y76&lt;=QUARTILE(Data!Y$4:Y$153,1),1,IF(Data!Y76&lt;=MEDIAN(Data!Y$4:Y$153),2,IF(Data!Y76&lt;=QUARTILE(Data!Y$4:Y$153,3),3,4)))</f>
        <v>4</v>
      </c>
      <c r="Z76" s="8">
        <f>IF(Data!Z76&lt;=QUARTILE(Data!Z$4:Z$153,1),1,IF(Data!Z76&lt;=MEDIAN(Data!Z$4:Z$153),2,IF(Data!Z76&lt;=QUARTILE(Data!Z$4:Z$153,3),3,4)))</f>
        <v>4</v>
      </c>
      <c r="AA76" s="8">
        <f>IF(Data!AA76&lt;=QUARTILE(Data!AA$4:AA$153,1),1,IF(Data!AA76&lt;=MEDIAN(Data!AA$4:AA$153),2,IF(Data!AA76&lt;=QUARTILE(Data!AA$4:AA$153,3),3,4)))</f>
        <v>3</v>
      </c>
      <c r="AB76" s="8">
        <f>IF(Data!AB76&lt;=QUARTILE(Data!AB$4:AB$153,1),1,IF(Data!AB76&lt;=MEDIAN(Data!AB$4:AB$153),2,IF(Data!AB76&lt;=QUARTILE(Data!AB$4:AB$153,3),3,4)))</f>
        <v>3</v>
      </c>
      <c r="AC76" s="8">
        <f>IF(Data!AC76&lt;=QUARTILE(Data!AC$4:AC$153,1),1,IF(Data!AC76&lt;=MEDIAN(Data!AC$4:AC$153),2,IF(Data!AC76&lt;=QUARTILE(Data!AC$4:AC$153,3),3,4)))</f>
        <v>3</v>
      </c>
      <c r="AD76" s="8">
        <f>IF(Data!AD76&lt;=QUARTILE(Data!AD$4:AD$153,1),1,IF(Data!AD76&lt;=MEDIAN(Data!AD$4:AD$153),2,IF(Data!AD76&lt;=QUARTILE(Data!AD$4:AD$153,3),3,4)))</f>
        <v>4</v>
      </c>
      <c r="AE76" s="8">
        <f>IF(Data!AE76&lt;=QUARTILE(Data!AE$4:AE$153,1),1,IF(Data!AE76&lt;=MEDIAN(Data!AE$4:AE$153),2,IF(Data!AE76&lt;=QUARTILE(Data!AE$4:AE$153,3),3,4)))</f>
        <v>3</v>
      </c>
      <c r="AF76" s="8">
        <f>IF(Data!AF76&lt;=QUARTILE(Data!AF$4:AF$153,1),1,IF(Data!AF76&lt;=MEDIAN(Data!AF$4:AF$153),2,IF(Data!AF76&lt;=QUARTILE(Data!AF$4:AF$153,3),3,4)))</f>
        <v>3</v>
      </c>
      <c r="AG76" s="8">
        <f>IF(Data!AG76&lt;=QUARTILE(Data!AG$4:AG$153,1),1,IF(Data!AG76&lt;=MEDIAN(Data!AG$4:AG$153),2,IF(Data!AG76&lt;=QUARTILE(Data!AG$4:AG$153,3),3,4)))</f>
        <v>4</v>
      </c>
      <c r="AH76" s="9">
        <f>IF(Data!AH76&lt;=QUARTILE(Data!AH$4:AH$153,1),1,IF(Data!AH76&lt;=MEDIAN(Data!AH$4:AH$153),2,IF(Data!AH76&lt;=QUARTILE(Data!AH$4:AH$153,3),3,4)))</f>
        <v>4</v>
      </c>
    </row>
    <row r="77" spans="1:34" x14ac:dyDescent="0.25">
      <c r="A77" s="7" t="s">
        <v>28</v>
      </c>
      <c r="B77" s="14" t="s">
        <v>64</v>
      </c>
      <c r="C77" s="7">
        <v>22</v>
      </c>
      <c r="D77" s="8">
        <v>60</v>
      </c>
      <c r="E77" s="42" t="s">
        <v>59</v>
      </c>
      <c r="F77" s="9">
        <v>-4.4400000000000004</v>
      </c>
      <c r="G77" s="7">
        <f>IF(Data!G77&lt;=QUARTILE(Data!G$4:G$153,1),1,IF(Data!G77&lt;=MEDIAN(Data!G$4:G$153),2,IF(Data!G77&lt;=QUARTILE(Data!G$4:G$153,3),3,4)))</f>
        <v>3</v>
      </c>
      <c r="H77" s="8">
        <f>IF(Data!H77&lt;=QUARTILE(Data!H$4:H$153,1),1,IF(Data!H77&lt;=MEDIAN(Data!H$4:H$153),2,IF(Data!H77&lt;=QUARTILE(Data!H$4:H$153,3),3,4)))</f>
        <v>2</v>
      </c>
      <c r="I77" s="8">
        <f>IF(Data!I77&lt;=QUARTILE(Data!I$4:I$153,1),1,IF(Data!I77&lt;=MEDIAN(Data!I$4:I$153),2,IF(Data!I77&lt;=QUARTILE(Data!I$4:I$153,3),3,4)))</f>
        <v>2</v>
      </c>
      <c r="J77" s="8">
        <f>IF(Data!J77&lt;=QUARTILE(Data!J$4:J$153,1),1,IF(Data!J77&lt;=MEDIAN(Data!J$4:J$153),2,IF(Data!J77&lt;=QUARTILE(Data!J$4:J$153,3),3,4)))</f>
        <v>2</v>
      </c>
      <c r="K77" s="8">
        <f>IF(Data!K77&lt;=QUARTILE(Data!K$4:K$153,1),1,IF(Data!K77&lt;=MEDIAN(Data!K$4:K$153),2,IF(Data!K77&lt;=QUARTILE(Data!K$4:K$153,3),3,4)))</f>
        <v>4</v>
      </c>
      <c r="L77" s="8">
        <f>IF(Data!L77&lt;=QUARTILE(Data!L$4:L$153,1),1,IF(Data!L77&lt;=MEDIAN(Data!L$4:L$153),2,IF(Data!L77&lt;=QUARTILE(Data!L$4:L$153,3),3,4)))</f>
        <v>4</v>
      </c>
      <c r="M77" s="8">
        <f>IF(Data!M77&lt;=QUARTILE(Data!M$4:M$153,1),1,IF(Data!M77&lt;=MEDIAN(Data!M$4:M$153),2,IF(Data!M77&lt;=QUARTILE(Data!M$4:M$153,3),3,4)))</f>
        <v>2</v>
      </c>
      <c r="N77" s="8">
        <f>IF(Data!N77&lt;=QUARTILE(Data!N$4:N$153,1),1,IF(Data!N77&lt;=MEDIAN(Data!N$4:N$153),2,IF(Data!N77&lt;=QUARTILE(Data!N$4:N$153,3),3,4)))</f>
        <v>1</v>
      </c>
      <c r="O77" s="8">
        <f>IF(Data!O77&lt;=QUARTILE(Data!O$4:O$153,1),1,IF(Data!O77&lt;=MEDIAN(Data!O$4:O$153),2,IF(Data!O77&lt;=QUARTILE(Data!O$4:O$153,3),3,4)))</f>
        <v>2</v>
      </c>
      <c r="P77" s="8">
        <f>IF(Data!P77&lt;=QUARTILE(Data!P$4:P$153,1),1,IF(Data!P77&lt;=MEDIAN(Data!P$4:P$153),2,IF(Data!P77&lt;=QUARTILE(Data!P$4:P$153,3),3,4)))</f>
        <v>2</v>
      </c>
      <c r="Q77" s="8">
        <f>IF(Data!Q77&lt;=QUARTILE(Data!Q$4:Q$153,1),1,IF(Data!Q77&lt;=MEDIAN(Data!Q$4:Q$153),2,IF(Data!Q77&lt;=QUARTILE(Data!Q$4:Q$153,3),3,4)))</f>
        <v>3</v>
      </c>
      <c r="R77" s="8">
        <f>IF(Data!R77&lt;=QUARTILE(Data!R$4:R$153,1),1,IF(Data!R77&lt;=MEDIAN(Data!R$4:R$153),2,IF(Data!R77&lt;=QUARTILE(Data!R$4:R$153,3),3,4)))</f>
        <v>4</v>
      </c>
      <c r="S77" s="8">
        <f>IF(Data!S77&lt;=QUARTILE(Data!S$4:S$153,1),1,IF(Data!S77&lt;=MEDIAN(Data!S$4:S$153),2,IF(Data!S77&lt;=QUARTILE(Data!S$4:S$153,3),3,4)))</f>
        <v>3</v>
      </c>
      <c r="T77" s="9">
        <f>IF(Data!T77&lt;=QUARTILE(Data!T$4:T$153,1),1,IF(Data!T77&lt;=MEDIAN(Data!T$4:T$153),2,IF(Data!T77&lt;=QUARTILE(Data!T$4:T$153,3),3,4)))</f>
        <v>4</v>
      </c>
      <c r="U77" s="7">
        <f>IF(Data!U77&lt;=QUARTILE(Data!U$4:U$153,1),1,IF(Data!U77&lt;=MEDIAN(Data!U$4:U$153),2,IF(Data!U77&lt;=QUARTILE(Data!U$4:U$153,3),3,4)))</f>
        <v>4</v>
      </c>
      <c r="V77" s="8">
        <f>IF(Data!V77&lt;=QUARTILE(Data!V$4:V$153,1),1,IF(Data!V77&lt;=MEDIAN(Data!V$4:V$153),2,IF(Data!V77&lt;=QUARTILE(Data!V$4:V$153,3),3,4)))</f>
        <v>4</v>
      </c>
      <c r="W77" s="8">
        <f>IF(Data!W77&lt;=QUARTILE(Data!W$4:W$153,1),1,IF(Data!W77&lt;=MEDIAN(Data!W$4:W$153),2,IF(Data!W77&lt;=QUARTILE(Data!W$4:W$153,3),3,4)))</f>
        <v>4</v>
      </c>
      <c r="X77" s="8">
        <f>IF(Data!X77&lt;=QUARTILE(Data!X$4:X$153,1),1,IF(Data!X77&lt;=MEDIAN(Data!X$4:X$153),2,IF(Data!X77&lt;=QUARTILE(Data!X$4:X$153,3),3,4)))</f>
        <v>3</v>
      </c>
      <c r="Y77" s="8">
        <f>IF(Data!Y77&lt;=QUARTILE(Data!Y$4:Y$153,1),1,IF(Data!Y77&lt;=MEDIAN(Data!Y$4:Y$153),2,IF(Data!Y77&lt;=QUARTILE(Data!Y$4:Y$153,3),3,4)))</f>
        <v>3</v>
      </c>
      <c r="Z77" s="8">
        <f>IF(Data!Z77&lt;=QUARTILE(Data!Z$4:Z$153,1),1,IF(Data!Z77&lt;=MEDIAN(Data!Z$4:Z$153),2,IF(Data!Z77&lt;=QUARTILE(Data!Z$4:Z$153,3),3,4)))</f>
        <v>3</v>
      </c>
      <c r="AA77" s="8">
        <f>IF(Data!AA77&lt;=QUARTILE(Data!AA$4:AA$153,1),1,IF(Data!AA77&lt;=MEDIAN(Data!AA$4:AA$153),2,IF(Data!AA77&lt;=QUARTILE(Data!AA$4:AA$153,3),3,4)))</f>
        <v>3</v>
      </c>
      <c r="AB77" s="8">
        <f>IF(Data!AB77&lt;=QUARTILE(Data!AB$4:AB$153,1),1,IF(Data!AB77&lt;=MEDIAN(Data!AB$4:AB$153),2,IF(Data!AB77&lt;=QUARTILE(Data!AB$4:AB$153,3),3,4)))</f>
        <v>3</v>
      </c>
      <c r="AC77" s="8">
        <f>IF(Data!AC77&lt;=QUARTILE(Data!AC$4:AC$153,1),1,IF(Data!AC77&lt;=MEDIAN(Data!AC$4:AC$153),2,IF(Data!AC77&lt;=QUARTILE(Data!AC$4:AC$153,3),3,4)))</f>
        <v>4</v>
      </c>
      <c r="AD77" s="8">
        <f>IF(Data!AD77&lt;=QUARTILE(Data!AD$4:AD$153,1),1,IF(Data!AD77&lt;=MEDIAN(Data!AD$4:AD$153),2,IF(Data!AD77&lt;=QUARTILE(Data!AD$4:AD$153,3),3,4)))</f>
        <v>4</v>
      </c>
      <c r="AE77" s="8">
        <f>IF(Data!AE77&lt;=QUARTILE(Data!AE$4:AE$153,1),1,IF(Data!AE77&lt;=MEDIAN(Data!AE$4:AE$153),2,IF(Data!AE77&lt;=QUARTILE(Data!AE$4:AE$153,3),3,4)))</f>
        <v>4</v>
      </c>
      <c r="AF77" s="8">
        <f>IF(Data!AF77&lt;=QUARTILE(Data!AF$4:AF$153,1),1,IF(Data!AF77&lt;=MEDIAN(Data!AF$4:AF$153),2,IF(Data!AF77&lt;=QUARTILE(Data!AF$4:AF$153,3),3,4)))</f>
        <v>4</v>
      </c>
      <c r="AG77" s="8">
        <f>IF(Data!AG77&lt;=QUARTILE(Data!AG$4:AG$153,1),1,IF(Data!AG77&lt;=MEDIAN(Data!AG$4:AG$153),2,IF(Data!AG77&lt;=QUARTILE(Data!AG$4:AG$153,3),3,4)))</f>
        <v>4</v>
      </c>
      <c r="AH77" s="9">
        <f>IF(Data!AH77&lt;=QUARTILE(Data!AH$4:AH$153,1),1,IF(Data!AH77&lt;=MEDIAN(Data!AH$4:AH$153),2,IF(Data!AH77&lt;=QUARTILE(Data!AH$4:AH$153,3),3,4)))</f>
        <v>4</v>
      </c>
    </row>
    <row r="78" spans="1:34" x14ac:dyDescent="0.25">
      <c r="A78" s="7" t="s">
        <v>54</v>
      </c>
      <c r="B78" s="14" t="s">
        <v>64</v>
      </c>
      <c r="C78" s="7">
        <v>44</v>
      </c>
      <c r="D78" s="8">
        <v>38</v>
      </c>
      <c r="E78" s="42" t="s">
        <v>58</v>
      </c>
      <c r="F78" s="9">
        <v>-1.21</v>
      </c>
      <c r="G78" s="7">
        <f>IF(Data!G78&lt;=QUARTILE(Data!G$4:G$153,1),1,IF(Data!G78&lt;=MEDIAN(Data!G$4:G$153),2,IF(Data!G78&lt;=QUARTILE(Data!G$4:G$153,3),3,4)))</f>
        <v>1</v>
      </c>
      <c r="H78" s="8">
        <f>IF(Data!H78&lt;=QUARTILE(Data!H$4:H$153,1),1,IF(Data!H78&lt;=MEDIAN(Data!H$4:H$153),2,IF(Data!H78&lt;=QUARTILE(Data!H$4:H$153,3),3,4)))</f>
        <v>1</v>
      </c>
      <c r="I78" s="8">
        <f>IF(Data!I78&lt;=QUARTILE(Data!I$4:I$153,1),1,IF(Data!I78&lt;=MEDIAN(Data!I$4:I$153),2,IF(Data!I78&lt;=QUARTILE(Data!I$4:I$153,3),3,4)))</f>
        <v>3</v>
      </c>
      <c r="J78" s="8">
        <f>IF(Data!J78&lt;=QUARTILE(Data!J$4:J$153,1),1,IF(Data!J78&lt;=MEDIAN(Data!J$4:J$153),2,IF(Data!J78&lt;=QUARTILE(Data!J$4:J$153,3),3,4)))</f>
        <v>3</v>
      </c>
      <c r="K78" s="8">
        <f>IF(Data!K78&lt;=QUARTILE(Data!K$4:K$153,1),1,IF(Data!K78&lt;=MEDIAN(Data!K$4:K$153),2,IF(Data!K78&lt;=QUARTILE(Data!K$4:K$153,3),3,4)))</f>
        <v>1</v>
      </c>
      <c r="L78" s="8">
        <f>IF(Data!L78&lt;=QUARTILE(Data!L$4:L$153,1),1,IF(Data!L78&lt;=MEDIAN(Data!L$4:L$153),2,IF(Data!L78&lt;=QUARTILE(Data!L$4:L$153,3),3,4)))</f>
        <v>2</v>
      </c>
      <c r="M78" s="8">
        <f>IF(Data!M78&lt;=QUARTILE(Data!M$4:M$153,1),1,IF(Data!M78&lt;=MEDIAN(Data!M$4:M$153),2,IF(Data!M78&lt;=QUARTILE(Data!M$4:M$153,3),3,4)))</f>
        <v>1</v>
      </c>
      <c r="N78" s="8">
        <f>IF(Data!N78&lt;=QUARTILE(Data!N$4:N$153,1),1,IF(Data!N78&lt;=MEDIAN(Data!N$4:N$153),2,IF(Data!N78&lt;=QUARTILE(Data!N$4:N$153,3),3,4)))</f>
        <v>3</v>
      </c>
      <c r="O78" s="8">
        <f>IF(Data!O78&lt;=QUARTILE(Data!O$4:O$153,1),1,IF(Data!O78&lt;=MEDIAN(Data!O$4:O$153),2,IF(Data!O78&lt;=QUARTILE(Data!O$4:O$153,3),3,4)))</f>
        <v>2</v>
      </c>
      <c r="P78" s="8">
        <f>IF(Data!P78&lt;=QUARTILE(Data!P$4:P$153,1),1,IF(Data!P78&lt;=MEDIAN(Data!P$4:P$153),2,IF(Data!P78&lt;=QUARTILE(Data!P$4:P$153,3),3,4)))</f>
        <v>2</v>
      </c>
      <c r="Q78" s="8">
        <f>IF(Data!Q78&lt;=QUARTILE(Data!Q$4:Q$153,1),1,IF(Data!Q78&lt;=MEDIAN(Data!Q$4:Q$153),2,IF(Data!Q78&lt;=QUARTILE(Data!Q$4:Q$153,3),3,4)))</f>
        <v>4</v>
      </c>
      <c r="R78" s="8">
        <f>IF(Data!R78&lt;=QUARTILE(Data!R$4:R$153,1),1,IF(Data!R78&lt;=MEDIAN(Data!R$4:R$153),2,IF(Data!R78&lt;=QUARTILE(Data!R$4:R$153,3),3,4)))</f>
        <v>3</v>
      </c>
      <c r="S78" s="8">
        <f>IF(Data!S78&lt;=QUARTILE(Data!S$4:S$153,1),1,IF(Data!S78&lt;=MEDIAN(Data!S$4:S$153),2,IF(Data!S78&lt;=QUARTILE(Data!S$4:S$153,3),3,4)))</f>
        <v>2</v>
      </c>
      <c r="T78" s="9">
        <f>IF(Data!T78&lt;=QUARTILE(Data!T$4:T$153,1),1,IF(Data!T78&lt;=MEDIAN(Data!T$4:T$153),2,IF(Data!T78&lt;=QUARTILE(Data!T$4:T$153,3),3,4)))</f>
        <v>1</v>
      </c>
      <c r="U78" s="7">
        <f>IF(Data!U78&lt;=QUARTILE(Data!U$4:U$153,1),1,IF(Data!U78&lt;=MEDIAN(Data!U$4:U$153),2,IF(Data!U78&lt;=QUARTILE(Data!U$4:U$153,3),3,4)))</f>
        <v>2</v>
      </c>
      <c r="V78" s="8">
        <f>IF(Data!V78&lt;=QUARTILE(Data!V$4:V$153,1),1,IF(Data!V78&lt;=MEDIAN(Data!V$4:V$153),2,IF(Data!V78&lt;=QUARTILE(Data!V$4:V$153,3),3,4)))</f>
        <v>2</v>
      </c>
      <c r="W78" s="8">
        <f>IF(Data!W78&lt;=QUARTILE(Data!W$4:W$153,1),1,IF(Data!W78&lt;=MEDIAN(Data!W$4:W$153),2,IF(Data!W78&lt;=QUARTILE(Data!W$4:W$153,3),3,4)))</f>
        <v>3</v>
      </c>
      <c r="X78" s="8">
        <f>IF(Data!X78&lt;=QUARTILE(Data!X$4:X$153,1),1,IF(Data!X78&lt;=MEDIAN(Data!X$4:X$153),2,IF(Data!X78&lt;=QUARTILE(Data!X$4:X$153,3),3,4)))</f>
        <v>3</v>
      </c>
      <c r="Y78" s="8">
        <f>IF(Data!Y78&lt;=QUARTILE(Data!Y$4:Y$153,1),1,IF(Data!Y78&lt;=MEDIAN(Data!Y$4:Y$153),2,IF(Data!Y78&lt;=QUARTILE(Data!Y$4:Y$153,3),3,4)))</f>
        <v>2</v>
      </c>
      <c r="Z78" s="8">
        <f>IF(Data!Z78&lt;=QUARTILE(Data!Z$4:Z$153,1),1,IF(Data!Z78&lt;=MEDIAN(Data!Z$4:Z$153),2,IF(Data!Z78&lt;=QUARTILE(Data!Z$4:Z$153,3),3,4)))</f>
        <v>2</v>
      </c>
      <c r="AA78" s="8">
        <f>IF(Data!AA78&lt;=QUARTILE(Data!AA$4:AA$153,1),1,IF(Data!AA78&lt;=MEDIAN(Data!AA$4:AA$153),2,IF(Data!AA78&lt;=QUARTILE(Data!AA$4:AA$153,3),3,4)))</f>
        <v>2</v>
      </c>
      <c r="AB78" s="8">
        <f>IF(Data!AB78&lt;=QUARTILE(Data!AB$4:AB$153,1),1,IF(Data!AB78&lt;=MEDIAN(Data!AB$4:AB$153),2,IF(Data!AB78&lt;=QUARTILE(Data!AB$4:AB$153,3),3,4)))</f>
        <v>2</v>
      </c>
      <c r="AC78" s="8">
        <f>IF(Data!AC78&lt;=QUARTILE(Data!AC$4:AC$153,1),1,IF(Data!AC78&lt;=MEDIAN(Data!AC$4:AC$153),2,IF(Data!AC78&lt;=QUARTILE(Data!AC$4:AC$153,3),3,4)))</f>
        <v>2</v>
      </c>
      <c r="AD78" s="8">
        <f>IF(Data!AD78&lt;=QUARTILE(Data!AD$4:AD$153,1),1,IF(Data!AD78&lt;=MEDIAN(Data!AD$4:AD$153),2,IF(Data!AD78&lt;=QUARTILE(Data!AD$4:AD$153,3),3,4)))</f>
        <v>1</v>
      </c>
      <c r="AE78" s="8">
        <f>IF(Data!AE78&lt;=QUARTILE(Data!AE$4:AE$153,1),1,IF(Data!AE78&lt;=MEDIAN(Data!AE$4:AE$153),2,IF(Data!AE78&lt;=QUARTILE(Data!AE$4:AE$153,3),3,4)))</f>
        <v>1</v>
      </c>
      <c r="AF78" s="8">
        <f>IF(Data!AF78&lt;=QUARTILE(Data!AF$4:AF$153,1),1,IF(Data!AF78&lt;=MEDIAN(Data!AF$4:AF$153),2,IF(Data!AF78&lt;=QUARTILE(Data!AF$4:AF$153,3),3,4)))</f>
        <v>3</v>
      </c>
      <c r="AG78" s="8">
        <f>IF(Data!AG78&lt;=QUARTILE(Data!AG$4:AG$153,1),1,IF(Data!AG78&lt;=MEDIAN(Data!AG$4:AG$153),2,IF(Data!AG78&lt;=QUARTILE(Data!AG$4:AG$153,3),3,4)))</f>
        <v>2</v>
      </c>
      <c r="AH78" s="9">
        <f>IF(Data!AH78&lt;=QUARTILE(Data!AH$4:AH$153,1),1,IF(Data!AH78&lt;=MEDIAN(Data!AH$4:AH$153),2,IF(Data!AH78&lt;=QUARTILE(Data!AH$4:AH$153,3),3,4)))</f>
        <v>2</v>
      </c>
    </row>
    <row r="79" spans="1:34" x14ac:dyDescent="0.25">
      <c r="A79" s="7" t="s">
        <v>21</v>
      </c>
      <c r="B79" s="14" t="s">
        <v>64</v>
      </c>
      <c r="C79" s="7">
        <v>28</v>
      </c>
      <c r="D79" s="8">
        <v>54</v>
      </c>
      <c r="E79" s="42" t="s">
        <v>59</v>
      </c>
      <c r="F79" s="9">
        <v>-4.4400000000000004</v>
      </c>
      <c r="G79" s="7">
        <f>IF(Data!G79&lt;=QUARTILE(Data!G$4:G$153,1),1,IF(Data!G79&lt;=MEDIAN(Data!G$4:G$153),2,IF(Data!G79&lt;=QUARTILE(Data!G$4:G$153,3),3,4)))</f>
        <v>4</v>
      </c>
      <c r="H79" s="8">
        <f>IF(Data!H79&lt;=QUARTILE(Data!H$4:H$153,1),1,IF(Data!H79&lt;=MEDIAN(Data!H$4:H$153),2,IF(Data!H79&lt;=QUARTILE(Data!H$4:H$153,3),3,4)))</f>
        <v>4</v>
      </c>
      <c r="I79" s="8">
        <f>IF(Data!I79&lt;=QUARTILE(Data!I$4:I$153,1),1,IF(Data!I79&lt;=MEDIAN(Data!I$4:I$153),2,IF(Data!I79&lt;=QUARTILE(Data!I$4:I$153,3),3,4)))</f>
        <v>3</v>
      </c>
      <c r="J79" s="8">
        <f>IF(Data!J79&lt;=QUARTILE(Data!J$4:J$153,1),1,IF(Data!J79&lt;=MEDIAN(Data!J$4:J$153),2,IF(Data!J79&lt;=QUARTILE(Data!J$4:J$153,3),3,4)))</f>
        <v>3</v>
      </c>
      <c r="K79" s="8">
        <f>IF(Data!K79&lt;=QUARTILE(Data!K$4:K$153,1),1,IF(Data!K79&lt;=MEDIAN(Data!K$4:K$153),2,IF(Data!K79&lt;=QUARTILE(Data!K$4:K$153,3),3,4)))</f>
        <v>1</v>
      </c>
      <c r="L79" s="8">
        <f>IF(Data!L79&lt;=QUARTILE(Data!L$4:L$153,1),1,IF(Data!L79&lt;=MEDIAN(Data!L$4:L$153),2,IF(Data!L79&lt;=QUARTILE(Data!L$4:L$153,3),3,4)))</f>
        <v>1</v>
      </c>
      <c r="M79" s="8">
        <f>IF(Data!M79&lt;=QUARTILE(Data!M$4:M$153,1),1,IF(Data!M79&lt;=MEDIAN(Data!M$4:M$153),2,IF(Data!M79&lt;=QUARTILE(Data!M$4:M$153,3),3,4)))</f>
        <v>3</v>
      </c>
      <c r="N79" s="8">
        <f>IF(Data!N79&lt;=QUARTILE(Data!N$4:N$153,1),1,IF(Data!N79&lt;=MEDIAN(Data!N$4:N$153),2,IF(Data!N79&lt;=QUARTILE(Data!N$4:N$153,3),3,4)))</f>
        <v>1</v>
      </c>
      <c r="O79" s="8">
        <f>IF(Data!O79&lt;=QUARTILE(Data!O$4:O$153,1),1,IF(Data!O79&lt;=MEDIAN(Data!O$4:O$153),2,IF(Data!O79&lt;=QUARTILE(Data!O$4:O$153,3),3,4)))</f>
        <v>3</v>
      </c>
      <c r="P79" s="8">
        <f>IF(Data!P79&lt;=QUARTILE(Data!P$4:P$153,1),1,IF(Data!P79&lt;=MEDIAN(Data!P$4:P$153),2,IF(Data!P79&lt;=QUARTILE(Data!P$4:P$153,3),3,4)))</f>
        <v>2</v>
      </c>
      <c r="Q79" s="8">
        <f>IF(Data!Q79&lt;=QUARTILE(Data!Q$4:Q$153,1),1,IF(Data!Q79&lt;=MEDIAN(Data!Q$4:Q$153),2,IF(Data!Q79&lt;=QUARTILE(Data!Q$4:Q$153,3),3,4)))</f>
        <v>1</v>
      </c>
      <c r="R79" s="8">
        <f>IF(Data!R79&lt;=QUARTILE(Data!R$4:R$153,1),1,IF(Data!R79&lt;=MEDIAN(Data!R$4:R$153),2,IF(Data!R79&lt;=QUARTILE(Data!R$4:R$153,3),3,4)))</f>
        <v>3</v>
      </c>
      <c r="S79" s="8">
        <f>IF(Data!S79&lt;=QUARTILE(Data!S$4:S$153,1),1,IF(Data!S79&lt;=MEDIAN(Data!S$4:S$153),2,IF(Data!S79&lt;=QUARTILE(Data!S$4:S$153,3),3,4)))</f>
        <v>3</v>
      </c>
      <c r="T79" s="9">
        <f>IF(Data!T79&lt;=QUARTILE(Data!T$4:T$153,1),1,IF(Data!T79&lt;=MEDIAN(Data!T$4:T$153),2,IF(Data!T79&lt;=QUARTILE(Data!T$4:T$153,3),3,4)))</f>
        <v>3</v>
      </c>
      <c r="U79" s="7">
        <f>IF(Data!U79&lt;=QUARTILE(Data!U$4:U$153,1),1,IF(Data!U79&lt;=MEDIAN(Data!U$4:U$153),2,IF(Data!U79&lt;=QUARTILE(Data!U$4:U$153,3),3,4)))</f>
        <v>4</v>
      </c>
      <c r="V79" s="8">
        <f>IF(Data!V79&lt;=QUARTILE(Data!V$4:V$153,1),1,IF(Data!V79&lt;=MEDIAN(Data!V$4:V$153),2,IF(Data!V79&lt;=QUARTILE(Data!V$4:V$153,3),3,4)))</f>
        <v>3</v>
      </c>
      <c r="W79" s="8">
        <f>IF(Data!W79&lt;=QUARTILE(Data!W$4:W$153,1),1,IF(Data!W79&lt;=MEDIAN(Data!W$4:W$153),2,IF(Data!W79&lt;=QUARTILE(Data!W$4:W$153,3),3,4)))</f>
        <v>4</v>
      </c>
      <c r="X79" s="8">
        <f>IF(Data!X79&lt;=QUARTILE(Data!X$4:X$153,1),1,IF(Data!X79&lt;=MEDIAN(Data!X$4:X$153),2,IF(Data!X79&lt;=QUARTILE(Data!X$4:X$153,3),3,4)))</f>
        <v>4</v>
      </c>
      <c r="Y79" s="8">
        <f>IF(Data!Y79&lt;=QUARTILE(Data!Y$4:Y$153,1),1,IF(Data!Y79&lt;=MEDIAN(Data!Y$4:Y$153),2,IF(Data!Y79&lt;=QUARTILE(Data!Y$4:Y$153,3),3,4)))</f>
        <v>2</v>
      </c>
      <c r="Z79" s="8">
        <f>IF(Data!Z79&lt;=QUARTILE(Data!Z$4:Z$153,1),1,IF(Data!Z79&lt;=MEDIAN(Data!Z$4:Z$153),2,IF(Data!Z79&lt;=QUARTILE(Data!Z$4:Z$153,3),3,4)))</f>
        <v>2</v>
      </c>
      <c r="AA79" s="8">
        <f>IF(Data!AA79&lt;=QUARTILE(Data!AA$4:AA$153,1),1,IF(Data!AA79&lt;=MEDIAN(Data!AA$4:AA$153),2,IF(Data!AA79&lt;=QUARTILE(Data!AA$4:AA$153,3),3,4)))</f>
        <v>4</v>
      </c>
      <c r="AB79" s="8">
        <f>IF(Data!AB79&lt;=QUARTILE(Data!AB$4:AB$153,1),1,IF(Data!AB79&lt;=MEDIAN(Data!AB$4:AB$153),2,IF(Data!AB79&lt;=QUARTILE(Data!AB$4:AB$153,3),3,4)))</f>
        <v>3</v>
      </c>
      <c r="AC79" s="8">
        <f>IF(Data!AC79&lt;=QUARTILE(Data!AC$4:AC$153,1),1,IF(Data!AC79&lt;=MEDIAN(Data!AC$4:AC$153),2,IF(Data!AC79&lt;=QUARTILE(Data!AC$4:AC$153,3),3,4)))</f>
        <v>4</v>
      </c>
      <c r="AD79" s="8">
        <f>IF(Data!AD79&lt;=QUARTILE(Data!AD$4:AD$153,1),1,IF(Data!AD79&lt;=MEDIAN(Data!AD$4:AD$153),2,IF(Data!AD79&lt;=QUARTILE(Data!AD$4:AD$153,3),3,4)))</f>
        <v>3</v>
      </c>
      <c r="AE79" s="8">
        <f>IF(Data!AE79&lt;=QUARTILE(Data!AE$4:AE$153,1),1,IF(Data!AE79&lt;=MEDIAN(Data!AE$4:AE$153),2,IF(Data!AE79&lt;=QUARTILE(Data!AE$4:AE$153,3),3,4)))</f>
        <v>4</v>
      </c>
      <c r="AF79" s="8">
        <f>IF(Data!AF79&lt;=QUARTILE(Data!AF$4:AF$153,1),1,IF(Data!AF79&lt;=MEDIAN(Data!AF$4:AF$153),2,IF(Data!AF79&lt;=QUARTILE(Data!AF$4:AF$153,3),3,4)))</f>
        <v>4</v>
      </c>
      <c r="AG79" s="8">
        <f>IF(Data!AG79&lt;=QUARTILE(Data!AG$4:AG$153,1),1,IF(Data!AG79&lt;=MEDIAN(Data!AG$4:AG$153),2,IF(Data!AG79&lt;=QUARTILE(Data!AG$4:AG$153,3),3,4)))</f>
        <v>2</v>
      </c>
      <c r="AH79" s="9">
        <f>IF(Data!AH79&lt;=QUARTILE(Data!AH$4:AH$153,1),1,IF(Data!AH79&lt;=MEDIAN(Data!AH$4:AH$153),2,IF(Data!AH79&lt;=QUARTILE(Data!AH$4:AH$153,3),3,4)))</f>
        <v>4</v>
      </c>
    </row>
    <row r="80" spans="1:34" x14ac:dyDescent="0.25">
      <c r="A80" s="7" t="s">
        <v>24</v>
      </c>
      <c r="B80" s="14" t="s">
        <v>64</v>
      </c>
      <c r="C80" s="7">
        <v>32</v>
      </c>
      <c r="D80" s="8">
        <v>50</v>
      </c>
      <c r="E80" s="42" t="s">
        <v>59</v>
      </c>
      <c r="F80" s="9">
        <v>-3.16</v>
      </c>
      <c r="G80" s="7">
        <f>IF(Data!G80&lt;=QUARTILE(Data!G$4:G$153,1),1,IF(Data!G80&lt;=MEDIAN(Data!G$4:G$153),2,IF(Data!G80&lt;=QUARTILE(Data!G$4:G$153,3),3,4)))</f>
        <v>3</v>
      </c>
      <c r="H80" s="8">
        <f>IF(Data!H80&lt;=QUARTILE(Data!H$4:H$153,1),1,IF(Data!H80&lt;=MEDIAN(Data!H$4:H$153),2,IF(Data!H80&lt;=QUARTILE(Data!H$4:H$153,3),3,4)))</f>
        <v>2</v>
      </c>
      <c r="I80" s="8">
        <f>IF(Data!I80&lt;=QUARTILE(Data!I$4:I$153,1),1,IF(Data!I80&lt;=MEDIAN(Data!I$4:I$153),2,IF(Data!I80&lt;=QUARTILE(Data!I$4:I$153,3),3,4)))</f>
        <v>1</v>
      </c>
      <c r="J80" s="8">
        <f>IF(Data!J80&lt;=QUARTILE(Data!J$4:J$153,1),1,IF(Data!J80&lt;=MEDIAN(Data!J$4:J$153),2,IF(Data!J80&lt;=QUARTILE(Data!J$4:J$153,3),3,4)))</f>
        <v>1</v>
      </c>
      <c r="K80" s="8">
        <f>IF(Data!K80&lt;=QUARTILE(Data!K$4:K$153,1),1,IF(Data!K80&lt;=MEDIAN(Data!K$4:K$153),2,IF(Data!K80&lt;=QUARTILE(Data!K$4:K$153,3),3,4)))</f>
        <v>2</v>
      </c>
      <c r="L80" s="8">
        <f>IF(Data!L80&lt;=QUARTILE(Data!L$4:L$153,1),1,IF(Data!L80&lt;=MEDIAN(Data!L$4:L$153),2,IF(Data!L80&lt;=QUARTILE(Data!L$4:L$153,3),3,4)))</f>
        <v>1</v>
      </c>
      <c r="M80" s="8">
        <f>IF(Data!M80&lt;=QUARTILE(Data!M$4:M$153,1),1,IF(Data!M80&lt;=MEDIAN(Data!M$4:M$153),2,IF(Data!M80&lt;=QUARTILE(Data!M$4:M$153,3),3,4)))</f>
        <v>1</v>
      </c>
      <c r="N80" s="8">
        <f>IF(Data!N80&lt;=QUARTILE(Data!N$4:N$153,1),1,IF(Data!N80&lt;=MEDIAN(Data!N$4:N$153),2,IF(Data!N80&lt;=QUARTILE(Data!N$4:N$153,3),3,4)))</f>
        <v>3</v>
      </c>
      <c r="O80" s="8">
        <f>IF(Data!O80&lt;=QUARTILE(Data!O$4:O$153,1),1,IF(Data!O80&lt;=MEDIAN(Data!O$4:O$153),2,IF(Data!O80&lt;=QUARTILE(Data!O$4:O$153,3),3,4)))</f>
        <v>4</v>
      </c>
      <c r="P80" s="8">
        <f>IF(Data!P80&lt;=QUARTILE(Data!P$4:P$153,1),1,IF(Data!P80&lt;=MEDIAN(Data!P$4:P$153),2,IF(Data!P80&lt;=QUARTILE(Data!P$4:P$153,3),3,4)))</f>
        <v>1</v>
      </c>
      <c r="Q80" s="8">
        <f>IF(Data!Q80&lt;=QUARTILE(Data!Q$4:Q$153,1),1,IF(Data!Q80&lt;=MEDIAN(Data!Q$4:Q$153),2,IF(Data!Q80&lt;=QUARTILE(Data!Q$4:Q$153,3),3,4)))</f>
        <v>1</v>
      </c>
      <c r="R80" s="8">
        <f>IF(Data!R80&lt;=QUARTILE(Data!R$4:R$153,1),1,IF(Data!R80&lt;=MEDIAN(Data!R$4:R$153),2,IF(Data!R80&lt;=QUARTILE(Data!R$4:R$153,3),3,4)))</f>
        <v>4</v>
      </c>
      <c r="S80" s="8">
        <f>IF(Data!S80&lt;=QUARTILE(Data!S$4:S$153,1),1,IF(Data!S80&lt;=MEDIAN(Data!S$4:S$153),2,IF(Data!S80&lt;=QUARTILE(Data!S$4:S$153,3),3,4)))</f>
        <v>2</v>
      </c>
      <c r="T80" s="9">
        <f>IF(Data!T80&lt;=QUARTILE(Data!T$4:T$153,1),1,IF(Data!T80&lt;=MEDIAN(Data!T$4:T$153),2,IF(Data!T80&lt;=QUARTILE(Data!T$4:T$153,3),3,4)))</f>
        <v>2</v>
      </c>
      <c r="U80" s="7">
        <f>IF(Data!U80&lt;=QUARTILE(Data!U$4:U$153,1),1,IF(Data!U80&lt;=MEDIAN(Data!U$4:U$153),2,IF(Data!U80&lt;=QUARTILE(Data!U$4:U$153,3),3,4)))</f>
        <v>3</v>
      </c>
      <c r="V80" s="8">
        <f>IF(Data!V80&lt;=QUARTILE(Data!V$4:V$153,1),1,IF(Data!V80&lt;=MEDIAN(Data!V$4:V$153),2,IF(Data!V80&lt;=QUARTILE(Data!V$4:V$153,3),3,4)))</f>
        <v>3</v>
      </c>
      <c r="W80" s="8">
        <f>IF(Data!W80&lt;=QUARTILE(Data!W$4:W$153,1),1,IF(Data!W80&lt;=MEDIAN(Data!W$4:W$153),2,IF(Data!W80&lt;=QUARTILE(Data!W$4:W$153,3),3,4)))</f>
        <v>3</v>
      </c>
      <c r="X80" s="8">
        <f>IF(Data!X80&lt;=QUARTILE(Data!X$4:X$153,1),1,IF(Data!X80&lt;=MEDIAN(Data!X$4:X$153),2,IF(Data!X80&lt;=QUARTILE(Data!X$4:X$153,3),3,4)))</f>
        <v>3</v>
      </c>
      <c r="Y80" s="8">
        <f>IF(Data!Y80&lt;=QUARTILE(Data!Y$4:Y$153,1),1,IF(Data!Y80&lt;=MEDIAN(Data!Y$4:Y$153),2,IF(Data!Y80&lt;=QUARTILE(Data!Y$4:Y$153,3),3,4)))</f>
        <v>2</v>
      </c>
      <c r="Z80" s="8">
        <f>IF(Data!Z80&lt;=QUARTILE(Data!Z$4:Z$153,1),1,IF(Data!Z80&lt;=MEDIAN(Data!Z$4:Z$153),2,IF(Data!Z80&lt;=QUARTILE(Data!Z$4:Z$153,3),3,4)))</f>
        <v>2</v>
      </c>
      <c r="AA80" s="8">
        <f>IF(Data!AA80&lt;=QUARTILE(Data!AA$4:AA$153,1),1,IF(Data!AA80&lt;=MEDIAN(Data!AA$4:AA$153),2,IF(Data!AA80&lt;=QUARTILE(Data!AA$4:AA$153,3),3,4)))</f>
        <v>3</v>
      </c>
      <c r="AB80" s="8">
        <f>IF(Data!AB80&lt;=QUARTILE(Data!AB$4:AB$153,1),1,IF(Data!AB80&lt;=MEDIAN(Data!AB$4:AB$153),2,IF(Data!AB80&lt;=QUARTILE(Data!AB$4:AB$153,3),3,4)))</f>
        <v>2</v>
      </c>
      <c r="AC80" s="8">
        <f>IF(Data!AC80&lt;=QUARTILE(Data!AC$4:AC$153,1),1,IF(Data!AC80&lt;=MEDIAN(Data!AC$4:AC$153),2,IF(Data!AC80&lt;=QUARTILE(Data!AC$4:AC$153,3),3,4)))</f>
        <v>3</v>
      </c>
      <c r="AD80" s="8">
        <f>IF(Data!AD80&lt;=QUARTILE(Data!AD$4:AD$153,1),1,IF(Data!AD80&lt;=MEDIAN(Data!AD$4:AD$153),2,IF(Data!AD80&lt;=QUARTILE(Data!AD$4:AD$153,3),3,4)))</f>
        <v>2</v>
      </c>
      <c r="AE80" s="8">
        <f>IF(Data!AE80&lt;=QUARTILE(Data!AE$4:AE$153,1),1,IF(Data!AE80&lt;=MEDIAN(Data!AE$4:AE$153),2,IF(Data!AE80&lt;=QUARTILE(Data!AE$4:AE$153,3),3,4)))</f>
        <v>2</v>
      </c>
      <c r="AF80" s="8">
        <f>IF(Data!AF80&lt;=QUARTILE(Data!AF$4:AF$153,1),1,IF(Data!AF80&lt;=MEDIAN(Data!AF$4:AF$153),2,IF(Data!AF80&lt;=QUARTILE(Data!AF$4:AF$153,3),3,4)))</f>
        <v>2</v>
      </c>
      <c r="AG80" s="8">
        <f>IF(Data!AG80&lt;=QUARTILE(Data!AG$4:AG$153,1),1,IF(Data!AG80&lt;=MEDIAN(Data!AG$4:AG$153),2,IF(Data!AG80&lt;=QUARTILE(Data!AG$4:AG$153,3),3,4)))</f>
        <v>1</v>
      </c>
      <c r="AH80" s="9">
        <f>IF(Data!AH80&lt;=QUARTILE(Data!AH$4:AH$153,1),1,IF(Data!AH80&lt;=MEDIAN(Data!AH$4:AH$153),2,IF(Data!AH80&lt;=QUARTILE(Data!AH$4:AH$153,3),3,4)))</f>
        <v>3</v>
      </c>
    </row>
    <row r="81" spans="1:34" x14ac:dyDescent="0.25">
      <c r="A81" s="7" t="s">
        <v>23</v>
      </c>
      <c r="B81" s="14" t="s">
        <v>64</v>
      </c>
      <c r="C81" s="7">
        <v>41</v>
      </c>
      <c r="D81" s="8">
        <v>41</v>
      </c>
      <c r="E81" s="42" t="s">
        <v>58</v>
      </c>
      <c r="F81" s="9">
        <v>-1</v>
      </c>
      <c r="G81" s="7">
        <f>IF(Data!G81&lt;=QUARTILE(Data!G$4:G$153,1),1,IF(Data!G81&lt;=MEDIAN(Data!G$4:G$153),2,IF(Data!G81&lt;=QUARTILE(Data!G$4:G$153,3),3,4)))</f>
        <v>1</v>
      </c>
      <c r="H81" s="8">
        <f>IF(Data!H81&lt;=QUARTILE(Data!H$4:H$153,1),1,IF(Data!H81&lt;=MEDIAN(Data!H$4:H$153),2,IF(Data!H81&lt;=QUARTILE(Data!H$4:H$153,3),3,4)))</f>
        <v>1</v>
      </c>
      <c r="I81" s="8">
        <f>IF(Data!I81&lt;=QUARTILE(Data!I$4:I$153,1),1,IF(Data!I81&lt;=MEDIAN(Data!I$4:I$153),2,IF(Data!I81&lt;=QUARTILE(Data!I$4:I$153,3),3,4)))</f>
        <v>4</v>
      </c>
      <c r="J81" s="8">
        <f>IF(Data!J81&lt;=QUARTILE(Data!J$4:J$153,1),1,IF(Data!J81&lt;=MEDIAN(Data!J$4:J$153),2,IF(Data!J81&lt;=QUARTILE(Data!J$4:J$153,3),3,4)))</f>
        <v>4</v>
      </c>
      <c r="K81" s="8">
        <f>IF(Data!K81&lt;=QUARTILE(Data!K$4:K$153,1),1,IF(Data!K81&lt;=MEDIAN(Data!K$4:K$153),2,IF(Data!K81&lt;=QUARTILE(Data!K$4:K$153,3),3,4)))</f>
        <v>2</v>
      </c>
      <c r="L81" s="8">
        <f>IF(Data!L81&lt;=QUARTILE(Data!L$4:L$153,1),1,IF(Data!L81&lt;=MEDIAN(Data!L$4:L$153),2,IF(Data!L81&lt;=QUARTILE(Data!L$4:L$153,3),3,4)))</f>
        <v>3</v>
      </c>
      <c r="M81" s="8">
        <f>IF(Data!M81&lt;=QUARTILE(Data!M$4:M$153,1),1,IF(Data!M81&lt;=MEDIAN(Data!M$4:M$153),2,IF(Data!M81&lt;=QUARTILE(Data!M$4:M$153,3),3,4)))</f>
        <v>1</v>
      </c>
      <c r="N81" s="8">
        <f>IF(Data!N81&lt;=QUARTILE(Data!N$4:N$153,1),1,IF(Data!N81&lt;=MEDIAN(Data!N$4:N$153),2,IF(Data!N81&lt;=QUARTILE(Data!N$4:N$153,3),3,4)))</f>
        <v>3</v>
      </c>
      <c r="O81" s="8">
        <f>IF(Data!O81&lt;=QUARTILE(Data!O$4:O$153,1),1,IF(Data!O81&lt;=MEDIAN(Data!O$4:O$153),2,IF(Data!O81&lt;=QUARTILE(Data!O$4:O$153,3),3,4)))</f>
        <v>4</v>
      </c>
      <c r="P81" s="8">
        <f>IF(Data!P81&lt;=QUARTILE(Data!P$4:P$153,1),1,IF(Data!P81&lt;=MEDIAN(Data!P$4:P$153),2,IF(Data!P81&lt;=QUARTILE(Data!P$4:P$153,3),3,4)))</f>
        <v>1</v>
      </c>
      <c r="Q81" s="8">
        <f>IF(Data!Q81&lt;=QUARTILE(Data!Q$4:Q$153,1),1,IF(Data!Q81&lt;=MEDIAN(Data!Q$4:Q$153),2,IF(Data!Q81&lt;=QUARTILE(Data!Q$4:Q$153,3),3,4)))</f>
        <v>1</v>
      </c>
      <c r="R81" s="8">
        <f>IF(Data!R81&lt;=QUARTILE(Data!R$4:R$153,1),1,IF(Data!R81&lt;=MEDIAN(Data!R$4:R$153),2,IF(Data!R81&lt;=QUARTILE(Data!R$4:R$153,3),3,4)))</f>
        <v>3</v>
      </c>
      <c r="S81" s="8">
        <f>IF(Data!S81&lt;=QUARTILE(Data!S$4:S$153,1),1,IF(Data!S81&lt;=MEDIAN(Data!S$4:S$153),2,IF(Data!S81&lt;=QUARTILE(Data!S$4:S$153,3),3,4)))</f>
        <v>3</v>
      </c>
      <c r="T81" s="9">
        <f>IF(Data!T81&lt;=QUARTILE(Data!T$4:T$153,1),1,IF(Data!T81&lt;=MEDIAN(Data!T$4:T$153),2,IF(Data!T81&lt;=QUARTILE(Data!T$4:T$153,3),3,4)))</f>
        <v>2</v>
      </c>
      <c r="U81" s="7">
        <f>IF(Data!U81&lt;=QUARTILE(Data!U$4:U$153,1),1,IF(Data!U81&lt;=MEDIAN(Data!U$4:U$153),2,IF(Data!U81&lt;=QUARTILE(Data!U$4:U$153,3),3,4)))</f>
        <v>2</v>
      </c>
      <c r="V81" s="8">
        <f>IF(Data!V81&lt;=QUARTILE(Data!V$4:V$153,1),1,IF(Data!V81&lt;=MEDIAN(Data!V$4:V$153),2,IF(Data!V81&lt;=QUARTILE(Data!V$4:V$153,3),3,4)))</f>
        <v>2</v>
      </c>
      <c r="W81" s="8">
        <f>IF(Data!W81&lt;=QUARTILE(Data!W$4:W$153,1),1,IF(Data!W81&lt;=MEDIAN(Data!W$4:W$153),2,IF(Data!W81&lt;=QUARTILE(Data!W$4:W$153,3),3,4)))</f>
        <v>3</v>
      </c>
      <c r="X81" s="8">
        <f>IF(Data!X81&lt;=QUARTILE(Data!X$4:X$153,1),1,IF(Data!X81&lt;=MEDIAN(Data!X$4:X$153),2,IF(Data!X81&lt;=QUARTILE(Data!X$4:X$153,3),3,4)))</f>
        <v>3</v>
      </c>
      <c r="Y81" s="8">
        <f>IF(Data!Y81&lt;=QUARTILE(Data!Y$4:Y$153,1),1,IF(Data!Y81&lt;=MEDIAN(Data!Y$4:Y$153),2,IF(Data!Y81&lt;=QUARTILE(Data!Y$4:Y$153,3),3,4)))</f>
        <v>4</v>
      </c>
      <c r="Z81" s="8">
        <f>IF(Data!Z81&lt;=QUARTILE(Data!Z$4:Z$153,1),1,IF(Data!Z81&lt;=MEDIAN(Data!Z$4:Z$153),2,IF(Data!Z81&lt;=QUARTILE(Data!Z$4:Z$153,3),3,4)))</f>
        <v>4</v>
      </c>
      <c r="AA81" s="8">
        <f>IF(Data!AA81&lt;=QUARTILE(Data!AA$4:AA$153,1),1,IF(Data!AA81&lt;=MEDIAN(Data!AA$4:AA$153),2,IF(Data!AA81&lt;=QUARTILE(Data!AA$4:AA$153,3),3,4)))</f>
        <v>1</v>
      </c>
      <c r="AB81" s="8">
        <f>IF(Data!AB81&lt;=QUARTILE(Data!AB$4:AB$153,1),1,IF(Data!AB81&lt;=MEDIAN(Data!AB$4:AB$153),2,IF(Data!AB81&lt;=QUARTILE(Data!AB$4:AB$153,3),3,4)))</f>
        <v>3</v>
      </c>
      <c r="AC81" s="8">
        <f>IF(Data!AC81&lt;=QUARTILE(Data!AC$4:AC$153,1),1,IF(Data!AC81&lt;=MEDIAN(Data!AC$4:AC$153),2,IF(Data!AC81&lt;=QUARTILE(Data!AC$4:AC$153,3),3,4)))</f>
        <v>3</v>
      </c>
      <c r="AD81" s="8">
        <f>IF(Data!AD81&lt;=QUARTILE(Data!AD$4:AD$153,1),1,IF(Data!AD81&lt;=MEDIAN(Data!AD$4:AD$153),2,IF(Data!AD81&lt;=QUARTILE(Data!AD$4:AD$153,3),3,4)))</f>
        <v>2</v>
      </c>
      <c r="AE81" s="8">
        <f>IF(Data!AE81&lt;=QUARTILE(Data!AE$4:AE$153,1),1,IF(Data!AE81&lt;=MEDIAN(Data!AE$4:AE$153),2,IF(Data!AE81&lt;=QUARTILE(Data!AE$4:AE$153,3),3,4)))</f>
        <v>2</v>
      </c>
      <c r="AF81" s="8">
        <f>IF(Data!AF81&lt;=QUARTILE(Data!AF$4:AF$153,1),1,IF(Data!AF81&lt;=MEDIAN(Data!AF$4:AF$153),2,IF(Data!AF81&lt;=QUARTILE(Data!AF$4:AF$153,3),3,4)))</f>
        <v>3</v>
      </c>
      <c r="AG81" s="8">
        <f>IF(Data!AG81&lt;=QUARTILE(Data!AG$4:AG$153,1),1,IF(Data!AG81&lt;=MEDIAN(Data!AG$4:AG$153),2,IF(Data!AG81&lt;=QUARTILE(Data!AG$4:AG$153,3),3,4)))</f>
        <v>3</v>
      </c>
      <c r="AH81" s="9">
        <f>IF(Data!AH81&lt;=QUARTILE(Data!AH$4:AH$153,1),1,IF(Data!AH81&lt;=MEDIAN(Data!AH$4:AH$153),2,IF(Data!AH81&lt;=QUARTILE(Data!AH$4:AH$153,3),3,4)))</f>
        <v>2</v>
      </c>
    </row>
    <row r="82" spans="1:34" x14ac:dyDescent="0.25">
      <c r="A82" s="7" t="s">
        <v>62</v>
      </c>
      <c r="B82" s="14" t="s">
        <v>64</v>
      </c>
      <c r="C82" s="7">
        <v>39</v>
      </c>
      <c r="D82" s="8">
        <v>43</v>
      </c>
      <c r="E82" s="42" t="s">
        <v>59</v>
      </c>
      <c r="F82" s="9">
        <v>-1.2</v>
      </c>
      <c r="G82" s="7">
        <f>IF(Data!G82&lt;=QUARTILE(Data!G$4:G$153,1),1,IF(Data!G82&lt;=MEDIAN(Data!G$4:G$153),2,IF(Data!G82&lt;=QUARTILE(Data!G$4:G$153,3),3,4)))</f>
        <v>2</v>
      </c>
      <c r="H82" s="8">
        <f>IF(Data!H82&lt;=QUARTILE(Data!H$4:H$153,1),1,IF(Data!H82&lt;=MEDIAN(Data!H$4:H$153),2,IF(Data!H82&lt;=QUARTILE(Data!H$4:H$153,3),3,4)))</f>
        <v>3</v>
      </c>
      <c r="I82" s="8">
        <f>IF(Data!I82&lt;=QUARTILE(Data!I$4:I$153,1),1,IF(Data!I82&lt;=MEDIAN(Data!I$4:I$153),2,IF(Data!I82&lt;=QUARTILE(Data!I$4:I$153,3),3,4)))</f>
        <v>2</v>
      </c>
      <c r="J82" s="8">
        <f>IF(Data!J82&lt;=QUARTILE(Data!J$4:J$153,1),1,IF(Data!J82&lt;=MEDIAN(Data!J$4:J$153),2,IF(Data!J82&lt;=QUARTILE(Data!J$4:J$153,3),3,4)))</f>
        <v>2</v>
      </c>
      <c r="K82" s="8">
        <f>IF(Data!K82&lt;=QUARTILE(Data!K$4:K$153,1),1,IF(Data!K82&lt;=MEDIAN(Data!K$4:K$153),2,IF(Data!K82&lt;=QUARTILE(Data!K$4:K$153,3),3,4)))</f>
        <v>1</v>
      </c>
      <c r="L82" s="8">
        <f>IF(Data!L82&lt;=QUARTILE(Data!L$4:L$153,1),1,IF(Data!L82&lt;=MEDIAN(Data!L$4:L$153),2,IF(Data!L82&lt;=QUARTILE(Data!L$4:L$153,3),3,4)))</f>
        <v>1</v>
      </c>
      <c r="M82" s="8">
        <f>IF(Data!M82&lt;=QUARTILE(Data!M$4:M$153,1),1,IF(Data!M82&lt;=MEDIAN(Data!M$4:M$153),2,IF(Data!M82&lt;=QUARTILE(Data!M$4:M$153,3),3,4)))</f>
        <v>4</v>
      </c>
      <c r="N82" s="8">
        <f>IF(Data!N82&lt;=QUARTILE(Data!N$4:N$153,1),1,IF(Data!N82&lt;=MEDIAN(Data!N$4:N$153),2,IF(Data!N82&lt;=QUARTILE(Data!N$4:N$153,3),3,4)))</f>
        <v>3</v>
      </c>
      <c r="O82" s="8">
        <f>IF(Data!O82&lt;=QUARTILE(Data!O$4:O$153,1),1,IF(Data!O82&lt;=MEDIAN(Data!O$4:O$153),2,IF(Data!O82&lt;=QUARTILE(Data!O$4:O$153,3),3,4)))</f>
        <v>1</v>
      </c>
      <c r="P82" s="8">
        <f>IF(Data!P82&lt;=QUARTILE(Data!P$4:P$153,1),1,IF(Data!P82&lt;=MEDIAN(Data!P$4:P$153),2,IF(Data!P82&lt;=QUARTILE(Data!P$4:P$153,3),3,4)))</f>
        <v>1</v>
      </c>
      <c r="Q82" s="8">
        <f>IF(Data!Q82&lt;=QUARTILE(Data!Q$4:Q$153,1),1,IF(Data!Q82&lt;=MEDIAN(Data!Q$4:Q$153),2,IF(Data!Q82&lt;=QUARTILE(Data!Q$4:Q$153,3),3,4)))</f>
        <v>2</v>
      </c>
      <c r="R82" s="8">
        <f>IF(Data!R82&lt;=QUARTILE(Data!R$4:R$153,1),1,IF(Data!R82&lt;=MEDIAN(Data!R$4:R$153),2,IF(Data!R82&lt;=QUARTILE(Data!R$4:R$153,3),3,4)))</f>
        <v>2</v>
      </c>
      <c r="S82" s="8">
        <f>IF(Data!S82&lt;=QUARTILE(Data!S$4:S$153,1),1,IF(Data!S82&lt;=MEDIAN(Data!S$4:S$153),2,IF(Data!S82&lt;=QUARTILE(Data!S$4:S$153,3),3,4)))</f>
        <v>1</v>
      </c>
      <c r="T82" s="9">
        <f>IF(Data!T82&lt;=QUARTILE(Data!T$4:T$153,1),1,IF(Data!T82&lt;=MEDIAN(Data!T$4:T$153),2,IF(Data!T82&lt;=QUARTILE(Data!T$4:T$153,3),3,4)))</f>
        <v>1</v>
      </c>
      <c r="U82" s="7">
        <f>IF(Data!U82&lt;=QUARTILE(Data!U$4:U$153,1),1,IF(Data!U82&lt;=MEDIAN(Data!U$4:U$153),2,IF(Data!U82&lt;=QUARTILE(Data!U$4:U$153,3),3,4)))</f>
        <v>3</v>
      </c>
      <c r="V82" s="8">
        <f>IF(Data!V82&lt;=QUARTILE(Data!V$4:V$153,1),1,IF(Data!V82&lt;=MEDIAN(Data!V$4:V$153),2,IF(Data!V82&lt;=QUARTILE(Data!V$4:V$153,3),3,4)))</f>
        <v>3</v>
      </c>
      <c r="W82" s="8">
        <f>IF(Data!W82&lt;=QUARTILE(Data!W$4:W$153,1),1,IF(Data!W82&lt;=MEDIAN(Data!W$4:W$153),2,IF(Data!W82&lt;=QUARTILE(Data!W$4:W$153,3),3,4)))</f>
        <v>4</v>
      </c>
      <c r="X82" s="8">
        <f>IF(Data!X82&lt;=QUARTILE(Data!X$4:X$153,1),1,IF(Data!X82&lt;=MEDIAN(Data!X$4:X$153),2,IF(Data!X82&lt;=QUARTILE(Data!X$4:X$153,3),3,4)))</f>
        <v>4</v>
      </c>
      <c r="Y82" s="8">
        <f>IF(Data!Y82&lt;=QUARTILE(Data!Y$4:Y$153,1),1,IF(Data!Y82&lt;=MEDIAN(Data!Y$4:Y$153),2,IF(Data!Y82&lt;=QUARTILE(Data!Y$4:Y$153,3),3,4)))</f>
        <v>1</v>
      </c>
      <c r="Z82" s="8">
        <f>IF(Data!Z82&lt;=QUARTILE(Data!Z$4:Z$153,1),1,IF(Data!Z82&lt;=MEDIAN(Data!Z$4:Z$153),2,IF(Data!Z82&lt;=QUARTILE(Data!Z$4:Z$153,3),3,4)))</f>
        <v>1</v>
      </c>
      <c r="AA82" s="8">
        <f>IF(Data!AA82&lt;=QUARTILE(Data!AA$4:AA$153,1),1,IF(Data!AA82&lt;=MEDIAN(Data!AA$4:AA$153),2,IF(Data!AA82&lt;=QUARTILE(Data!AA$4:AA$153,3),3,4)))</f>
        <v>1</v>
      </c>
      <c r="AB82" s="8">
        <f>IF(Data!AB82&lt;=QUARTILE(Data!AB$4:AB$153,1),1,IF(Data!AB82&lt;=MEDIAN(Data!AB$4:AB$153),2,IF(Data!AB82&lt;=QUARTILE(Data!AB$4:AB$153,3),3,4)))</f>
        <v>3</v>
      </c>
      <c r="AC82" s="8">
        <f>IF(Data!AC82&lt;=QUARTILE(Data!AC$4:AC$153,1),1,IF(Data!AC82&lt;=MEDIAN(Data!AC$4:AC$153),2,IF(Data!AC82&lt;=QUARTILE(Data!AC$4:AC$153,3),3,4)))</f>
        <v>2</v>
      </c>
      <c r="AD82" s="8">
        <f>IF(Data!AD82&lt;=QUARTILE(Data!AD$4:AD$153,1),1,IF(Data!AD82&lt;=MEDIAN(Data!AD$4:AD$153),2,IF(Data!AD82&lt;=QUARTILE(Data!AD$4:AD$153,3),3,4)))</f>
        <v>1</v>
      </c>
      <c r="AE82" s="8">
        <f>IF(Data!AE82&lt;=QUARTILE(Data!AE$4:AE$153,1),1,IF(Data!AE82&lt;=MEDIAN(Data!AE$4:AE$153),2,IF(Data!AE82&lt;=QUARTILE(Data!AE$4:AE$153,3),3,4)))</f>
        <v>2</v>
      </c>
      <c r="AF82" s="8">
        <f>IF(Data!AF82&lt;=QUARTILE(Data!AF$4:AF$153,1),1,IF(Data!AF82&lt;=MEDIAN(Data!AF$4:AF$153),2,IF(Data!AF82&lt;=QUARTILE(Data!AF$4:AF$153,3),3,4)))</f>
        <v>2</v>
      </c>
      <c r="AG82" s="8">
        <f>IF(Data!AG82&lt;=QUARTILE(Data!AG$4:AG$153,1),1,IF(Data!AG82&lt;=MEDIAN(Data!AG$4:AG$153),2,IF(Data!AG82&lt;=QUARTILE(Data!AG$4:AG$153,3),3,4)))</f>
        <v>2</v>
      </c>
      <c r="AH82" s="9">
        <f>IF(Data!AH82&lt;=QUARTILE(Data!AH$4:AH$153,1),1,IF(Data!AH82&lt;=MEDIAN(Data!AH$4:AH$153),2,IF(Data!AH82&lt;=QUARTILE(Data!AH$4:AH$153,3),3,4)))</f>
        <v>2</v>
      </c>
    </row>
    <row r="83" spans="1:34" x14ac:dyDescent="0.25">
      <c r="A83" s="7" t="s">
        <v>18</v>
      </c>
      <c r="B83" s="14" t="s">
        <v>64</v>
      </c>
      <c r="C83" s="7">
        <v>33</v>
      </c>
      <c r="D83" s="8">
        <v>49</v>
      </c>
      <c r="E83" s="42" t="s">
        <v>59</v>
      </c>
      <c r="F83" s="9">
        <v>-3.06</v>
      </c>
      <c r="G83" s="7">
        <f>IF(Data!G83&lt;=QUARTILE(Data!G$4:G$153,1),1,IF(Data!G83&lt;=MEDIAN(Data!G$4:G$153),2,IF(Data!G83&lt;=QUARTILE(Data!G$4:G$153,3),3,4)))</f>
        <v>1</v>
      </c>
      <c r="H83" s="8">
        <f>IF(Data!H83&lt;=QUARTILE(Data!H$4:H$153,1),1,IF(Data!H83&lt;=MEDIAN(Data!H$4:H$153),2,IF(Data!H83&lt;=QUARTILE(Data!H$4:H$153,3),3,4)))</f>
        <v>1</v>
      </c>
      <c r="I83" s="8">
        <f>IF(Data!I83&lt;=QUARTILE(Data!I$4:I$153,1),1,IF(Data!I83&lt;=MEDIAN(Data!I$4:I$153),2,IF(Data!I83&lt;=QUARTILE(Data!I$4:I$153,3),3,4)))</f>
        <v>2</v>
      </c>
      <c r="J83" s="8">
        <f>IF(Data!J83&lt;=QUARTILE(Data!J$4:J$153,1),1,IF(Data!J83&lt;=MEDIAN(Data!J$4:J$153),2,IF(Data!J83&lt;=QUARTILE(Data!J$4:J$153,3),3,4)))</f>
        <v>2</v>
      </c>
      <c r="K83" s="8">
        <f>IF(Data!K83&lt;=QUARTILE(Data!K$4:K$153,1),1,IF(Data!K83&lt;=MEDIAN(Data!K$4:K$153),2,IF(Data!K83&lt;=QUARTILE(Data!K$4:K$153,3),3,4)))</f>
        <v>4</v>
      </c>
      <c r="L83" s="8">
        <f>IF(Data!L83&lt;=QUARTILE(Data!L$4:L$153,1),1,IF(Data!L83&lt;=MEDIAN(Data!L$4:L$153),2,IF(Data!L83&lt;=QUARTILE(Data!L$4:L$153,3),3,4)))</f>
        <v>4</v>
      </c>
      <c r="M83" s="8">
        <f>IF(Data!M83&lt;=QUARTILE(Data!M$4:M$153,1),1,IF(Data!M83&lt;=MEDIAN(Data!M$4:M$153),2,IF(Data!M83&lt;=QUARTILE(Data!M$4:M$153,3),3,4)))</f>
        <v>4</v>
      </c>
      <c r="N83" s="8">
        <f>IF(Data!N83&lt;=QUARTILE(Data!N$4:N$153,1),1,IF(Data!N83&lt;=MEDIAN(Data!N$4:N$153),2,IF(Data!N83&lt;=QUARTILE(Data!N$4:N$153,3),3,4)))</f>
        <v>3</v>
      </c>
      <c r="O83" s="8">
        <f>IF(Data!O83&lt;=QUARTILE(Data!O$4:O$153,1),1,IF(Data!O83&lt;=MEDIAN(Data!O$4:O$153),2,IF(Data!O83&lt;=QUARTILE(Data!O$4:O$153,3),3,4)))</f>
        <v>1</v>
      </c>
      <c r="P83" s="8">
        <f>IF(Data!P83&lt;=QUARTILE(Data!P$4:P$153,1),1,IF(Data!P83&lt;=MEDIAN(Data!P$4:P$153),2,IF(Data!P83&lt;=QUARTILE(Data!P$4:P$153,3),3,4)))</f>
        <v>1</v>
      </c>
      <c r="Q83" s="8">
        <f>IF(Data!Q83&lt;=QUARTILE(Data!Q$4:Q$153,1),1,IF(Data!Q83&lt;=MEDIAN(Data!Q$4:Q$153),2,IF(Data!Q83&lt;=QUARTILE(Data!Q$4:Q$153,3),3,4)))</f>
        <v>1</v>
      </c>
      <c r="R83" s="8">
        <f>IF(Data!R83&lt;=QUARTILE(Data!R$4:R$153,1),1,IF(Data!R83&lt;=MEDIAN(Data!R$4:R$153),2,IF(Data!R83&lt;=QUARTILE(Data!R$4:R$153,3),3,4)))</f>
        <v>4</v>
      </c>
      <c r="S83" s="8">
        <f>IF(Data!S83&lt;=QUARTILE(Data!S$4:S$153,1),1,IF(Data!S83&lt;=MEDIAN(Data!S$4:S$153),2,IF(Data!S83&lt;=QUARTILE(Data!S$4:S$153,3),3,4)))</f>
        <v>4</v>
      </c>
      <c r="T83" s="9">
        <f>IF(Data!T83&lt;=QUARTILE(Data!T$4:T$153,1),1,IF(Data!T83&lt;=MEDIAN(Data!T$4:T$153),2,IF(Data!T83&lt;=QUARTILE(Data!T$4:T$153,3),3,4)))</f>
        <v>2</v>
      </c>
      <c r="U83" s="7">
        <f>IF(Data!U83&lt;=QUARTILE(Data!U$4:U$153,1),1,IF(Data!U83&lt;=MEDIAN(Data!U$4:U$153),2,IF(Data!U83&lt;=QUARTILE(Data!U$4:U$153,3),3,4)))</f>
        <v>3</v>
      </c>
      <c r="V83" s="8">
        <f>IF(Data!V83&lt;=QUARTILE(Data!V$4:V$153,1),1,IF(Data!V83&lt;=MEDIAN(Data!V$4:V$153),2,IF(Data!V83&lt;=QUARTILE(Data!V$4:V$153,3),3,4)))</f>
        <v>3</v>
      </c>
      <c r="W83" s="8">
        <f>IF(Data!W83&lt;=QUARTILE(Data!W$4:W$153,1),1,IF(Data!W83&lt;=MEDIAN(Data!W$4:W$153),2,IF(Data!W83&lt;=QUARTILE(Data!W$4:W$153,3),3,4)))</f>
        <v>4</v>
      </c>
      <c r="X83" s="8">
        <f>IF(Data!X83&lt;=QUARTILE(Data!X$4:X$153,1),1,IF(Data!X83&lt;=MEDIAN(Data!X$4:X$153),2,IF(Data!X83&lt;=QUARTILE(Data!X$4:X$153,3),3,4)))</f>
        <v>4</v>
      </c>
      <c r="Y83" s="8">
        <f>IF(Data!Y83&lt;=QUARTILE(Data!Y$4:Y$153,1),1,IF(Data!Y83&lt;=MEDIAN(Data!Y$4:Y$153),2,IF(Data!Y83&lt;=QUARTILE(Data!Y$4:Y$153,3),3,4)))</f>
        <v>3</v>
      </c>
      <c r="Z83" s="8">
        <f>IF(Data!Z83&lt;=QUARTILE(Data!Z$4:Z$153,1),1,IF(Data!Z83&lt;=MEDIAN(Data!Z$4:Z$153),2,IF(Data!Z83&lt;=QUARTILE(Data!Z$4:Z$153,3),3,4)))</f>
        <v>3</v>
      </c>
      <c r="AA83" s="8">
        <f>IF(Data!AA83&lt;=QUARTILE(Data!AA$4:AA$153,1),1,IF(Data!AA83&lt;=MEDIAN(Data!AA$4:AA$153),2,IF(Data!AA83&lt;=QUARTILE(Data!AA$4:AA$153,3),3,4)))</f>
        <v>2</v>
      </c>
      <c r="AB83" s="8">
        <f>IF(Data!AB83&lt;=QUARTILE(Data!AB$4:AB$153,1),1,IF(Data!AB83&lt;=MEDIAN(Data!AB$4:AB$153),2,IF(Data!AB83&lt;=QUARTILE(Data!AB$4:AB$153,3),3,4)))</f>
        <v>1</v>
      </c>
      <c r="AC83" s="8">
        <f>IF(Data!AC83&lt;=QUARTILE(Data!AC$4:AC$153,1),1,IF(Data!AC83&lt;=MEDIAN(Data!AC$4:AC$153),2,IF(Data!AC83&lt;=QUARTILE(Data!AC$4:AC$153,3),3,4)))</f>
        <v>3</v>
      </c>
      <c r="AD83" s="8">
        <f>IF(Data!AD83&lt;=QUARTILE(Data!AD$4:AD$153,1),1,IF(Data!AD83&lt;=MEDIAN(Data!AD$4:AD$153),2,IF(Data!AD83&lt;=QUARTILE(Data!AD$4:AD$153,3),3,4)))</f>
        <v>3</v>
      </c>
      <c r="AE83" s="8">
        <f>IF(Data!AE83&lt;=QUARTILE(Data!AE$4:AE$153,1),1,IF(Data!AE83&lt;=MEDIAN(Data!AE$4:AE$153),2,IF(Data!AE83&lt;=QUARTILE(Data!AE$4:AE$153,3),3,4)))</f>
        <v>3</v>
      </c>
      <c r="AF83" s="8">
        <f>IF(Data!AF83&lt;=QUARTILE(Data!AF$4:AF$153,1),1,IF(Data!AF83&lt;=MEDIAN(Data!AF$4:AF$153),2,IF(Data!AF83&lt;=QUARTILE(Data!AF$4:AF$153,3),3,4)))</f>
        <v>2</v>
      </c>
      <c r="AG83" s="8">
        <f>IF(Data!AG83&lt;=QUARTILE(Data!AG$4:AG$153,1),1,IF(Data!AG83&lt;=MEDIAN(Data!AG$4:AG$153),2,IF(Data!AG83&lt;=QUARTILE(Data!AG$4:AG$153,3),3,4)))</f>
        <v>3</v>
      </c>
      <c r="AH83" s="9">
        <f>IF(Data!AH83&lt;=QUARTILE(Data!AH$4:AH$153,1),1,IF(Data!AH83&lt;=MEDIAN(Data!AH$4:AH$153),2,IF(Data!AH83&lt;=QUARTILE(Data!AH$4:AH$153,3),3,4)))</f>
        <v>3</v>
      </c>
    </row>
    <row r="84" spans="1:34" x14ac:dyDescent="0.25">
      <c r="A84" s="7" t="s">
        <v>66</v>
      </c>
      <c r="B84" s="14" t="s">
        <v>64</v>
      </c>
      <c r="C84" s="7">
        <v>40</v>
      </c>
      <c r="D84" s="8">
        <v>42</v>
      </c>
      <c r="E84" s="42" t="s">
        <v>58</v>
      </c>
      <c r="F84" s="9">
        <v>0.34</v>
      </c>
      <c r="G84" s="7">
        <f>IF(Data!G84&lt;=QUARTILE(Data!G$4:G$153,1),1,IF(Data!G84&lt;=MEDIAN(Data!G$4:G$153),2,IF(Data!G84&lt;=QUARTILE(Data!G$4:G$153,3),3,4)))</f>
        <v>1</v>
      </c>
      <c r="H84" s="8">
        <f>IF(Data!H84&lt;=QUARTILE(Data!H$4:H$153,1),1,IF(Data!H84&lt;=MEDIAN(Data!H$4:H$153),2,IF(Data!H84&lt;=QUARTILE(Data!H$4:H$153,3),3,4)))</f>
        <v>1</v>
      </c>
      <c r="I84" s="8">
        <f>IF(Data!I84&lt;=QUARTILE(Data!I$4:I$153,1),1,IF(Data!I84&lt;=MEDIAN(Data!I$4:I$153),2,IF(Data!I84&lt;=QUARTILE(Data!I$4:I$153,3),3,4)))</f>
        <v>1</v>
      </c>
      <c r="J84" s="8">
        <f>IF(Data!J84&lt;=QUARTILE(Data!J$4:J$153,1),1,IF(Data!J84&lt;=MEDIAN(Data!J$4:J$153),2,IF(Data!J84&lt;=QUARTILE(Data!J$4:J$153,3),3,4)))</f>
        <v>1</v>
      </c>
      <c r="K84" s="8">
        <f>IF(Data!K84&lt;=QUARTILE(Data!K$4:K$153,1),1,IF(Data!K84&lt;=MEDIAN(Data!K$4:K$153),2,IF(Data!K84&lt;=QUARTILE(Data!K$4:K$153,3),3,4)))</f>
        <v>3</v>
      </c>
      <c r="L84" s="8">
        <f>IF(Data!L84&lt;=QUARTILE(Data!L$4:L$153,1),1,IF(Data!L84&lt;=MEDIAN(Data!L$4:L$153),2,IF(Data!L84&lt;=QUARTILE(Data!L$4:L$153,3),3,4)))</f>
        <v>4</v>
      </c>
      <c r="M84" s="8">
        <f>IF(Data!M84&lt;=QUARTILE(Data!M$4:M$153,1),1,IF(Data!M84&lt;=MEDIAN(Data!M$4:M$153),2,IF(Data!M84&lt;=QUARTILE(Data!M$4:M$153,3),3,4)))</f>
        <v>2</v>
      </c>
      <c r="N84" s="8">
        <f>IF(Data!N84&lt;=QUARTILE(Data!N$4:N$153,1),1,IF(Data!N84&lt;=MEDIAN(Data!N$4:N$153),2,IF(Data!N84&lt;=QUARTILE(Data!N$4:N$153,3),3,4)))</f>
        <v>2</v>
      </c>
      <c r="O84" s="8">
        <f>IF(Data!O84&lt;=QUARTILE(Data!O$4:O$153,1),1,IF(Data!O84&lt;=MEDIAN(Data!O$4:O$153),2,IF(Data!O84&lt;=QUARTILE(Data!O$4:O$153,3),3,4)))</f>
        <v>1</v>
      </c>
      <c r="P84" s="8">
        <f>IF(Data!P84&lt;=QUARTILE(Data!P$4:P$153,1),1,IF(Data!P84&lt;=MEDIAN(Data!P$4:P$153),2,IF(Data!P84&lt;=QUARTILE(Data!P$4:P$153,3),3,4)))</f>
        <v>2</v>
      </c>
      <c r="Q84" s="8">
        <f>IF(Data!Q84&lt;=QUARTILE(Data!Q$4:Q$153,1),1,IF(Data!Q84&lt;=MEDIAN(Data!Q$4:Q$153),2,IF(Data!Q84&lt;=QUARTILE(Data!Q$4:Q$153,3),3,4)))</f>
        <v>3</v>
      </c>
      <c r="R84" s="8">
        <f>IF(Data!R84&lt;=QUARTILE(Data!R$4:R$153,1),1,IF(Data!R84&lt;=MEDIAN(Data!R$4:R$153),2,IF(Data!R84&lt;=QUARTILE(Data!R$4:R$153,3),3,4)))</f>
        <v>4</v>
      </c>
      <c r="S84" s="8">
        <f>IF(Data!S84&lt;=QUARTILE(Data!S$4:S$153,1),1,IF(Data!S84&lt;=MEDIAN(Data!S$4:S$153),2,IF(Data!S84&lt;=QUARTILE(Data!S$4:S$153,3),3,4)))</f>
        <v>4</v>
      </c>
      <c r="T84" s="9">
        <f>IF(Data!T84&lt;=QUARTILE(Data!T$4:T$153,1),1,IF(Data!T84&lt;=MEDIAN(Data!T$4:T$153),2,IF(Data!T84&lt;=QUARTILE(Data!T$4:T$153,3),3,4)))</f>
        <v>1</v>
      </c>
      <c r="U84" s="7">
        <f>IF(Data!U84&lt;=QUARTILE(Data!U$4:U$153,1),1,IF(Data!U84&lt;=MEDIAN(Data!U$4:U$153),2,IF(Data!U84&lt;=QUARTILE(Data!U$4:U$153,3),3,4)))</f>
        <v>1</v>
      </c>
      <c r="V84" s="8">
        <f>IF(Data!V84&lt;=QUARTILE(Data!V$4:V$153,1),1,IF(Data!V84&lt;=MEDIAN(Data!V$4:V$153),2,IF(Data!V84&lt;=QUARTILE(Data!V$4:V$153,3),3,4)))</f>
        <v>1</v>
      </c>
      <c r="W84" s="8">
        <f>IF(Data!W84&lt;=QUARTILE(Data!W$4:W$153,1),1,IF(Data!W84&lt;=MEDIAN(Data!W$4:W$153),2,IF(Data!W84&lt;=QUARTILE(Data!W$4:W$153,3),3,4)))</f>
        <v>2</v>
      </c>
      <c r="X84" s="8">
        <f>IF(Data!X84&lt;=QUARTILE(Data!X$4:X$153,1),1,IF(Data!X84&lt;=MEDIAN(Data!X$4:X$153),2,IF(Data!X84&lt;=QUARTILE(Data!X$4:X$153,3),3,4)))</f>
        <v>2</v>
      </c>
      <c r="Y84" s="8">
        <f>IF(Data!Y84&lt;=QUARTILE(Data!Y$4:Y$153,1),1,IF(Data!Y84&lt;=MEDIAN(Data!Y$4:Y$153),2,IF(Data!Y84&lt;=QUARTILE(Data!Y$4:Y$153,3),3,4)))</f>
        <v>4</v>
      </c>
      <c r="Z84" s="8">
        <f>IF(Data!Z84&lt;=QUARTILE(Data!Z$4:Z$153,1),1,IF(Data!Z84&lt;=MEDIAN(Data!Z$4:Z$153),2,IF(Data!Z84&lt;=QUARTILE(Data!Z$4:Z$153,3),3,4)))</f>
        <v>4</v>
      </c>
      <c r="AA84" s="8">
        <f>IF(Data!AA84&lt;=QUARTILE(Data!AA$4:AA$153,1),1,IF(Data!AA84&lt;=MEDIAN(Data!AA$4:AA$153),2,IF(Data!AA84&lt;=QUARTILE(Data!AA$4:AA$153,3),3,4)))</f>
        <v>1</v>
      </c>
      <c r="AB84" s="8">
        <f>IF(Data!AB84&lt;=QUARTILE(Data!AB$4:AB$153,1),1,IF(Data!AB84&lt;=MEDIAN(Data!AB$4:AB$153),2,IF(Data!AB84&lt;=QUARTILE(Data!AB$4:AB$153,3),3,4)))</f>
        <v>1</v>
      </c>
      <c r="AC84" s="8">
        <f>IF(Data!AC84&lt;=QUARTILE(Data!AC$4:AC$153,1),1,IF(Data!AC84&lt;=MEDIAN(Data!AC$4:AC$153),2,IF(Data!AC84&lt;=QUARTILE(Data!AC$4:AC$153,3),3,4)))</f>
        <v>1</v>
      </c>
      <c r="AD84" s="8">
        <f>IF(Data!AD84&lt;=QUARTILE(Data!AD$4:AD$153,1),1,IF(Data!AD84&lt;=MEDIAN(Data!AD$4:AD$153),2,IF(Data!AD84&lt;=QUARTILE(Data!AD$4:AD$153,3),3,4)))</f>
        <v>4</v>
      </c>
      <c r="AE84" s="8">
        <f>IF(Data!AE84&lt;=QUARTILE(Data!AE$4:AE$153,1),1,IF(Data!AE84&lt;=MEDIAN(Data!AE$4:AE$153),2,IF(Data!AE84&lt;=QUARTILE(Data!AE$4:AE$153,3),3,4)))</f>
        <v>2</v>
      </c>
      <c r="AF84" s="8">
        <f>IF(Data!AF84&lt;=QUARTILE(Data!AF$4:AF$153,1),1,IF(Data!AF84&lt;=MEDIAN(Data!AF$4:AF$153),2,IF(Data!AF84&lt;=QUARTILE(Data!AF$4:AF$153,3),3,4)))</f>
        <v>3</v>
      </c>
      <c r="AG84" s="8">
        <f>IF(Data!AG84&lt;=QUARTILE(Data!AG$4:AG$153,1),1,IF(Data!AG84&lt;=MEDIAN(Data!AG$4:AG$153),2,IF(Data!AG84&lt;=QUARTILE(Data!AG$4:AG$153,3),3,4)))</f>
        <v>4</v>
      </c>
      <c r="AH84" s="9">
        <f>IF(Data!AH84&lt;=QUARTILE(Data!AH$4:AH$153,1),1,IF(Data!AH84&lt;=MEDIAN(Data!AH$4:AH$153),2,IF(Data!AH84&lt;=QUARTILE(Data!AH$4:AH$153,3),3,4)))</f>
        <v>1</v>
      </c>
    </row>
    <row r="85" spans="1:34" x14ac:dyDescent="0.25">
      <c r="A85" s="7" t="s">
        <v>63</v>
      </c>
      <c r="B85" s="14" t="s">
        <v>64</v>
      </c>
      <c r="C85" s="7">
        <v>35</v>
      </c>
      <c r="D85" s="8">
        <v>47</v>
      </c>
      <c r="E85" s="42" t="s">
        <v>59</v>
      </c>
      <c r="F85" s="9">
        <v>-3.26</v>
      </c>
      <c r="G85" s="7">
        <f>IF(Data!G85&lt;=QUARTILE(Data!G$4:G$153,1),1,IF(Data!G85&lt;=MEDIAN(Data!G$4:G$153),2,IF(Data!G85&lt;=QUARTILE(Data!G$4:G$153,3),3,4)))</f>
        <v>2</v>
      </c>
      <c r="H85" s="8">
        <f>IF(Data!H85&lt;=QUARTILE(Data!H$4:H$153,1),1,IF(Data!H85&lt;=MEDIAN(Data!H$4:H$153),2,IF(Data!H85&lt;=QUARTILE(Data!H$4:H$153,3),3,4)))</f>
        <v>1</v>
      </c>
      <c r="I85" s="8">
        <f>IF(Data!I85&lt;=QUARTILE(Data!I$4:I$153,1),1,IF(Data!I85&lt;=MEDIAN(Data!I$4:I$153),2,IF(Data!I85&lt;=QUARTILE(Data!I$4:I$153,3),3,4)))</f>
        <v>1</v>
      </c>
      <c r="J85" s="8">
        <f>IF(Data!J85&lt;=QUARTILE(Data!J$4:J$153,1),1,IF(Data!J85&lt;=MEDIAN(Data!J$4:J$153),2,IF(Data!J85&lt;=QUARTILE(Data!J$4:J$153,3),3,4)))</f>
        <v>1</v>
      </c>
      <c r="K85" s="8">
        <f>IF(Data!K85&lt;=QUARTILE(Data!K$4:K$153,1),1,IF(Data!K85&lt;=MEDIAN(Data!K$4:K$153),2,IF(Data!K85&lt;=QUARTILE(Data!K$4:K$153,3),3,4)))</f>
        <v>3</v>
      </c>
      <c r="L85" s="8">
        <f>IF(Data!L85&lt;=QUARTILE(Data!L$4:L$153,1),1,IF(Data!L85&lt;=MEDIAN(Data!L$4:L$153),2,IF(Data!L85&lt;=QUARTILE(Data!L$4:L$153,3),3,4)))</f>
        <v>3</v>
      </c>
      <c r="M85" s="8">
        <f>IF(Data!M85&lt;=QUARTILE(Data!M$4:M$153,1),1,IF(Data!M85&lt;=MEDIAN(Data!M$4:M$153),2,IF(Data!M85&lt;=QUARTILE(Data!M$4:M$153,3),3,4)))</f>
        <v>2</v>
      </c>
      <c r="N85" s="8">
        <f>IF(Data!N85&lt;=QUARTILE(Data!N$4:N$153,1),1,IF(Data!N85&lt;=MEDIAN(Data!N$4:N$153),2,IF(Data!N85&lt;=QUARTILE(Data!N$4:N$153,3),3,4)))</f>
        <v>1</v>
      </c>
      <c r="O85" s="8">
        <f>IF(Data!O85&lt;=QUARTILE(Data!O$4:O$153,1),1,IF(Data!O85&lt;=MEDIAN(Data!O$4:O$153),2,IF(Data!O85&lt;=QUARTILE(Data!O$4:O$153,3),3,4)))</f>
        <v>2</v>
      </c>
      <c r="P85" s="8">
        <f>IF(Data!P85&lt;=QUARTILE(Data!P$4:P$153,1),1,IF(Data!P85&lt;=MEDIAN(Data!P$4:P$153),2,IF(Data!P85&lt;=QUARTILE(Data!P$4:P$153,3),3,4)))</f>
        <v>2</v>
      </c>
      <c r="Q85" s="8">
        <f>IF(Data!Q85&lt;=QUARTILE(Data!Q$4:Q$153,1),1,IF(Data!Q85&lt;=MEDIAN(Data!Q$4:Q$153),2,IF(Data!Q85&lt;=QUARTILE(Data!Q$4:Q$153,3),3,4)))</f>
        <v>2</v>
      </c>
      <c r="R85" s="8">
        <f>IF(Data!R85&lt;=QUARTILE(Data!R$4:R$153,1),1,IF(Data!R85&lt;=MEDIAN(Data!R$4:R$153),2,IF(Data!R85&lt;=QUARTILE(Data!R$4:R$153,3),3,4)))</f>
        <v>4</v>
      </c>
      <c r="S85" s="8">
        <f>IF(Data!S85&lt;=QUARTILE(Data!S$4:S$153,1),1,IF(Data!S85&lt;=MEDIAN(Data!S$4:S$153),2,IF(Data!S85&lt;=QUARTILE(Data!S$4:S$153,3),3,4)))</f>
        <v>1</v>
      </c>
      <c r="T85" s="9">
        <f>IF(Data!T85&lt;=QUARTILE(Data!T$4:T$153,1),1,IF(Data!T85&lt;=MEDIAN(Data!T$4:T$153),2,IF(Data!T85&lt;=QUARTILE(Data!T$4:T$153,3),3,4)))</f>
        <v>1</v>
      </c>
      <c r="U85" s="7">
        <f>IF(Data!U85&lt;=QUARTILE(Data!U$4:U$153,1),1,IF(Data!U85&lt;=MEDIAN(Data!U$4:U$153),2,IF(Data!U85&lt;=QUARTILE(Data!U$4:U$153,3),3,4)))</f>
        <v>3</v>
      </c>
      <c r="V85" s="8">
        <f>IF(Data!V85&lt;=QUARTILE(Data!V$4:V$153,1),1,IF(Data!V85&lt;=MEDIAN(Data!V$4:V$153),2,IF(Data!V85&lt;=QUARTILE(Data!V$4:V$153,3),3,4)))</f>
        <v>3</v>
      </c>
      <c r="W85" s="8">
        <f>IF(Data!W85&lt;=QUARTILE(Data!W$4:W$153,1),1,IF(Data!W85&lt;=MEDIAN(Data!W$4:W$153),2,IF(Data!W85&lt;=QUARTILE(Data!W$4:W$153,3),3,4)))</f>
        <v>3</v>
      </c>
      <c r="X85" s="8">
        <f>IF(Data!X85&lt;=QUARTILE(Data!X$4:X$153,1),1,IF(Data!X85&lt;=MEDIAN(Data!X$4:X$153),2,IF(Data!X85&lt;=QUARTILE(Data!X$4:X$153,3),3,4)))</f>
        <v>3</v>
      </c>
      <c r="Y85" s="8">
        <f>IF(Data!Y85&lt;=QUARTILE(Data!Y$4:Y$153,1),1,IF(Data!Y85&lt;=MEDIAN(Data!Y$4:Y$153),2,IF(Data!Y85&lt;=QUARTILE(Data!Y$4:Y$153,3),3,4)))</f>
        <v>1</v>
      </c>
      <c r="Z85" s="8">
        <f>IF(Data!Z85&lt;=QUARTILE(Data!Z$4:Z$153,1),1,IF(Data!Z85&lt;=MEDIAN(Data!Z$4:Z$153),2,IF(Data!Z85&lt;=QUARTILE(Data!Z$4:Z$153,3),3,4)))</f>
        <v>1</v>
      </c>
      <c r="AA85" s="8">
        <f>IF(Data!AA85&lt;=QUARTILE(Data!AA$4:AA$153,1),1,IF(Data!AA85&lt;=MEDIAN(Data!AA$4:AA$153),2,IF(Data!AA85&lt;=QUARTILE(Data!AA$4:AA$153,3),3,4)))</f>
        <v>3</v>
      </c>
      <c r="AB85" s="8">
        <f>IF(Data!AB85&lt;=QUARTILE(Data!AB$4:AB$153,1),1,IF(Data!AB85&lt;=MEDIAN(Data!AB$4:AB$153),2,IF(Data!AB85&lt;=QUARTILE(Data!AB$4:AB$153,3),3,4)))</f>
        <v>2</v>
      </c>
      <c r="AC85" s="8">
        <f>IF(Data!AC85&lt;=QUARTILE(Data!AC$4:AC$153,1),1,IF(Data!AC85&lt;=MEDIAN(Data!AC$4:AC$153),2,IF(Data!AC85&lt;=QUARTILE(Data!AC$4:AC$153,3),3,4)))</f>
        <v>4</v>
      </c>
      <c r="AD85" s="8">
        <f>IF(Data!AD85&lt;=QUARTILE(Data!AD$4:AD$153,1),1,IF(Data!AD85&lt;=MEDIAN(Data!AD$4:AD$153),2,IF(Data!AD85&lt;=QUARTILE(Data!AD$4:AD$153,3),3,4)))</f>
        <v>3</v>
      </c>
      <c r="AE85" s="8">
        <f>IF(Data!AE85&lt;=QUARTILE(Data!AE$4:AE$153,1),1,IF(Data!AE85&lt;=MEDIAN(Data!AE$4:AE$153),2,IF(Data!AE85&lt;=QUARTILE(Data!AE$4:AE$153,3),3,4)))</f>
        <v>1</v>
      </c>
      <c r="AF85" s="8">
        <f>IF(Data!AF85&lt;=QUARTILE(Data!AF$4:AF$153,1),1,IF(Data!AF85&lt;=MEDIAN(Data!AF$4:AF$153),2,IF(Data!AF85&lt;=QUARTILE(Data!AF$4:AF$153,3),3,4)))</f>
        <v>4</v>
      </c>
      <c r="AG85" s="8">
        <f>IF(Data!AG85&lt;=QUARTILE(Data!AG$4:AG$153,1),1,IF(Data!AG85&lt;=MEDIAN(Data!AG$4:AG$153),2,IF(Data!AG85&lt;=QUARTILE(Data!AG$4:AG$153,3),3,4)))</f>
        <v>3</v>
      </c>
      <c r="AH85" s="9">
        <f>IF(Data!AH85&lt;=QUARTILE(Data!AH$4:AH$153,1),1,IF(Data!AH85&lt;=MEDIAN(Data!AH$4:AH$153),2,IF(Data!AH85&lt;=QUARTILE(Data!AH$4:AH$153,3),3,4)))</f>
        <v>2</v>
      </c>
    </row>
    <row r="86" spans="1:34" x14ac:dyDescent="0.25">
      <c r="A86" s="7" t="s">
        <v>16</v>
      </c>
      <c r="B86" s="14" t="s">
        <v>64</v>
      </c>
      <c r="C86" s="7">
        <v>61</v>
      </c>
      <c r="D86" s="8">
        <v>21</v>
      </c>
      <c r="E86" s="42" t="s">
        <v>58</v>
      </c>
      <c r="F86" s="9">
        <v>7.27</v>
      </c>
      <c r="G86" s="7">
        <f>IF(Data!G86&lt;=QUARTILE(Data!G$4:G$153,1),1,IF(Data!G86&lt;=MEDIAN(Data!G$4:G$153),2,IF(Data!G86&lt;=QUARTILE(Data!G$4:G$153,3),3,4)))</f>
        <v>4</v>
      </c>
      <c r="H86" s="8">
        <f>IF(Data!H86&lt;=QUARTILE(Data!H$4:H$153,1),1,IF(Data!H86&lt;=MEDIAN(Data!H$4:H$153),2,IF(Data!H86&lt;=QUARTILE(Data!H$4:H$153,3),3,4)))</f>
        <v>4</v>
      </c>
      <c r="I86" s="8">
        <f>IF(Data!I86&lt;=QUARTILE(Data!I$4:I$153,1),1,IF(Data!I86&lt;=MEDIAN(Data!I$4:I$153),2,IF(Data!I86&lt;=QUARTILE(Data!I$4:I$153,3),3,4)))</f>
        <v>4</v>
      </c>
      <c r="J86" s="8">
        <f>IF(Data!J86&lt;=QUARTILE(Data!J$4:J$153,1),1,IF(Data!J86&lt;=MEDIAN(Data!J$4:J$153),2,IF(Data!J86&lt;=QUARTILE(Data!J$4:J$153,3),3,4)))</f>
        <v>4</v>
      </c>
      <c r="K86" s="8">
        <f>IF(Data!K86&lt;=QUARTILE(Data!K$4:K$153,1),1,IF(Data!K86&lt;=MEDIAN(Data!K$4:K$153),2,IF(Data!K86&lt;=QUARTILE(Data!K$4:K$153,3),3,4)))</f>
        <v>1</v>
      </c>
      <c r="L86" s="8">
        <f>IF(Data!L86&lt;=QUARTILE(Data!L$4:L$153,1),1,IF(Data!L86&lt;=MEDIAN(Data!L$4:L$153),2,IF(Data!L86&lt;=QUARTILE(Data!L$4:L$153,3),3,4)))</f>
        <v>1</v>
      </c>
      <c r="M86" s="8">
        <f>IF(Data!M86&lt;=QUARTILE(Data!M$4:M$153,1),1,IF(Data!M86&lt;=MEDIAN(Data!M$4:M$153),2,IF(Data!M86&lt;=QUARTILE(Data!M$4:M$153,3),3,4)))</f>
        <v>1</v>
      </c>
      <c r="N86" s="8">
        <f>IF(Data!N86&lt;=QUARTILE(Data!N$4:N$153,1),1,IF(Data!N86&lt;=MEDIAN(Data!N$4:N$153),2,IF(Data!N86&lt;=QUARTILE(Data!N$4:N$153,3),3,4)))</f>
        <v>4</v>
      </c>
      <c r="O86" s="8">
        <f>IF(Data!O86&lt;=QUARTILE(Data!O$4:O$153,1),1,IF(Data!O86&lt;=MEDIAN(Data!O$4:O$153),2,IF(Data!O86&lt;=QUARTILE(Data!O$4:O$153,3),3,4)))</f>
        <v>4</v>
      </c>
      <c r="P86" s="8">
        <f>IF(Data!P86&lt;=QUARTILE(Data!P$4:P$153,1),1,IF(Data!P86&lt;=MEDIAN(Data!P$4:P$153),2,IF(Data!P86&lt;=QUARTILE(Data!P$4:P$153,3),3,4)))</f>
        <v>1</v>
      </c>
      <c r="Q86" s="8">
        <f>IF(Data!Q86&lt;=QUARTILE(Data!Q$4:Q$153,1),1,IF(Data!Q86&lt;=MEDIAN(Data!Q$4:Q$153),2,IF(Data!Q86&lt;=QUARTILE(Data!Q$4:Q$153,3),3,4)))</f>
        <v>3</v>
      </c>
      <c r="R86" s="8">
        <f>IF(Data!R86&lt;=QUARTILE(Data!R$4:R$153,1),1,IF(Data!R86&lt;=MEDIAN(Data!R$4:R$153),2,IF(Data!R86&lt;=QUARTILE(Data!R$4:R$153,3),3,4)))</f>
        <v>3</v>
      </c>
      <c r="S86" s="8">
        <f>IF(Data!S86&lt;=QUARTILE(Data!S$4:S$153,1),1,IF(Data!S86&lt;=MEDIAN(Data!S$4:S$153),2,IF(Data!S86&lt;=QUARTILE(Data!S$4:S$153,3),3,4)))</f>
        <v>1</v>
      </c>
      <c r="T86" s="9">
        <f>IF(Data!T86&lt;=QUARTILE(Data!T$4:T$153,1),1,IF(Data!T86&lt;=MEDIAN(Data!T$4:T$153),2,IF(Data!T86&lt;=QUARTILE(Data!T$4:T$153,3),3,4)))</f>
        <v>4</v>
      </c>
      <c r="U86" s="7">
        <f>IF(Data!U86&lt;=QUARTILE(Data!U$4:U$153,1),1,IF(Data!U86&lt;=MEDIAN(Data!U$4:U$153),2,IF(Data!U86&lt;=QUARTILE(Data!U$4:U$153,3),3,4)))</f>
        <v>4</v>
      </c>
      <c r="V86" s="8">
        <f>IF(Data!V86&lt;=QUARTILE(Data!V$4:V$153,1),1,IF(Data!V86&lt;=MEDIAN(Data!V$4:V$153),2,IF(Data!V86&lt;=QUARTILE(Data!V$4:V$153,3),3,4)))</f>
        <v>4</v>
      </c>
      <c r="W86" s="8">
        <f>IF(Data!W86&lt;=QUARTILE(Data!W$4:W$153,1),1,IF(Data!W86&lt;=MEDIAN(Data!W$4:W$153),2,IF(Data!W86&lt;=QUARTILE(Data!W$4:W$153,3),3,4)))</f>
        <v>3</v>
      </c>
      <c r="X86" s="8">
        <f>IF(Data!X86&lt;=QUARTILE(Data!X$4:X$153,1),1,IF(Data!X86&lt;=MEDIAN(Data!X$4:X$153),2,IF(Data!X86&lt;=QUARTILE(Data!X$4:X$153,3),3,4)))</f>
        <v>2</v>
      </c>
      <c r="Y86" s="8">
        <f>IF(Data!Y86&lt;=QUARTILE(Data!Y$4:Y$153,1),1,IF(Data!Y86&lt;=MEDIAN(Data!Y$4:Y$153),2,IF(Data!Y86&lt;=QUARTILE(Data!Y$4:Y$153,3),3,4)))</f>
        <v>1</v>
      </c>
      <c r="Z86" s="8">
        <f>IF(Data!Z86&lt;=QUARTILE(Data!Z$4:Z$153,1),1,IF(Data!Z86&lt;=MEDIAN(Data!Z$4:Z$153),2,IF(Data!Z86&lt;=QUARTILE(Data!Z$4:Z$153,3),3,4)))</f>
        <v>1</v>
      </c>
      <c r="AA86" s="8">
        <f>IF(Data!AA86&lt;=QUARTILE(Data!AA$4:AA$153,1),1,IF(Data!AA86&lt;=MEDIAN(Data!AA$4:AA$153),2,IF(Data!AA86&lt;=QUARTILE(Data!AA$4:AA$153,3),3,4)))</f>
        <v>4</v>
      </c>
      <c r="AB86" s="8">
        <f>IF(Data!AB86&lt;=QUARTILE(Data!AB$4:AB$153,1),1,IF(Data!AB86&lt;=MEDIAN(Data!AB$4:AB$153),2,IF(Data!AB86&lt;=QUARTILE(Data!AB$4:AB$153,3),3,4)))</f>
        <v>3</v>
      </c>
      <c r="AC86" s="8">
        <f>IF(Data!AC86&lt;=QUARTILE(Data!AC$4:AC$153,1),1,IF(Data!AC86&lt;=MEDIAN(Data!AC$4:AC$153),2,IF(Data!AC86&lt;=QUARTILE(Data!AC$4:AC$153,3),3,4)))</f>
        <v>1</v>
      </c>
      <c r="AD86" s="8">
        <f>IF(Data!AD86&lt;=QUARTILE(Data!AD$4:AD$153,1),1,IF(Data!AD86&lt;=MEDIAN(Data!AD$4:AD$153),2,IF(Data!AD86&lt;=QUARTILE(Data!AD$4:AD$153,3),3,4)))</f>
        <v>2</v>
      </c>
      <c r="AE86" s="8">
        <f>IF(Data!AE86&lt;=QUARTILE(Data!AE$4:AE$153,1),1,IF(Data!AE86&lt;=MEDIAN(Data!AE$4:AE$153),2,IF(Data!AE86&lt;=QUARTILE(Data!AE$4:AE$153,3),3,4)))</f>
        <v>1</v>
      </c>
      <c r="AF86" s="8">
        <f>IF(Data!AF86&lt;=QUARTILE(Data!AF$4:AF$153,1),1,IF(Data!AF86&lt;=MEDIAN(Data!AF$4:AF$153),2,IF(Data!AF86&lt;=QUARTILE(Data!AF$4:AF$153,3),3,4)))</f>
        <v>3</v>
      </c>
      <c r="AG86" s="8">
        <f>IF(Data!AG86&lt;=QUARTILE(Data!AG$4:AG$153,1),1,IF(Data!AG86&lt;=MEDIAN(Data!AG$4:AG$153),2,IF(Data!AG86&lt;=QUARTILE(Data!AG$4:AG$153,3),3,4)))</f>
        <v>2</v>
      </c>
      <c r="AH86" s="9">
        <f>IF(Data!AH86&lt;=QUARTILE(Data!AH$4:AH$153,1),1,IF(Data!AH86&lt;=MEDIAN(Data!AH$4:AH$153),2,IF(Data!AH86&lt;=QUARTILE(Data!AH$4:AH$153,3),3,4)))</f>
        <v>4</v>
      </c>
    </row>
    <row r="87" spans="1:34" x14ac:dyDescent="0.25">
      <c r="A87" s="7" t="s">
        <v>55</v>
      </c>
      <c r="B87" s="14" t="s">
        <v>64</v>
      </c>
      <c r="C87" s="7">
        <v>32</v>
      </c>
      <c r="D87" s="8">
        <v>50</v>
      </c>
      <c r="E87" s="42" t="s">
        <v>59</v>
      </c>
      <c r="F87" s="9">
        <v>-3.78</v>
      </c>
      <c r="G87" s="7">
        <f>IF(Data!G87&lt;=QUARTILE(Data!G$4:G$153,1),1,IF(Data!G87&lt;=MEDIAN(Data!G$4:G$153),2,IF(Data!G87&lt;=QUARTILE(Data!G$4:G$153,3),3,4)))</f>
        <v>1</v>
      </c>
      <c r="H87" s="8">
        <f>IF(Data!H87&lt;=QUARTILE(Data!H$4:H$153,1),1,IF(Data!H87&lt;=MEDIAN(Data!H$4:H$153),2,IF(Data!H87&lt;=QUARTILE(Data!H$4:H$153,3),3,4)))</f>
        <v>1</v>
      </c>
      <c r="I87" s="8">
        <f>IF(Data!I87&lt;=QUARTILE(Data!I$4:I$153,1),1,IF(Data!I87&lt;=MEDIAN(Data!I$4:I$153),2,IF(Data!I87&lt;=QUARTILE(Data!I$4:I$153,3),3,4)))</f>
        <v>2</v>
      </c>
      <c r="J87" s="8">
        <f>IF(Data!J87&lt;=QUARTILE(Data!J$4:J$153,1),1,IF(Data!J87&lt;=MEDIAN(Data!J$4:J$153),2,IF(Data!J87&lt;=QUARTILE(Data!J$4:J$153,3),3,4)))</f>
        <v>2</v>
      </c>
      <c r="K87" s="8">
        <f>IF(Data!K87&lt;=QUARTILE(Data!K$4:K$153,1),1,IF(Data!K87&lt;=MEDIAN(Data!K$4:K$153),2,IF(Data!K87&lt;=QUARTILE(Data!K$4:K$153,3),3,4)))</f>
        <v>2</v>
      </c>
      <c r="L87" s="8">
        <f>IF(Data!L87&lt;=QUARTILE(Data!L$4:L$153,1),1,IF(Data!L87&lt;=MEDIAN(Data!L$4:L$153),2,IF(Data!L87&lt;=QUARTILE(Data!L$4:L$153,3),3,4)))</f>
        <v>2</v>
      </c>
      <c r="M87" s="8">
        <f>IF(Data!M87&lt;=QUARTILE(Data!M$4:M$153,1),1,IF(Data!M87&lt;=MEDIAN(Data!M$4:M$153),2,IF(Data!M87&lt;=QUARTILE(Data!M$4:M$153,3),3,4)))</f>
        <v>3</v>
      </c>
      <c r="N87" s="8">
        <f>IF(Data!N87&lt;=QUARTILE(Data!N$4:N$153,1),1,IF(Data!N87&lt;=MEDIAN(Data!N$4:N$153),2,IF(Data!N87&lt;=QUARTILE(Data!N$4:N$153,3),3,4)))</f>
        <v>1</v>
      </c>
      <c r="O87" s="8">
        <f>IF(Data!O87&lt;=QUARTILE(Data!O$4:O$153,1),1,IF(Data!O87&lt;=MEDIAN(Data!O$4:O$153),2,IF(Data!O87&lt;=QUARTILE(Data!O$4:O$153,3),3,4)))</f>
        <v>1</v>
      </c>
      <c r="P87" s="8">
        <f>IF(Data!P87&lt;=QUARTILE(Data!P$4:P$153,1),1,IF(Data!P87&lt;=MEDIAN(Data!P$4:P$153),2,IF(Data!P87&lt;=QUARTILE(Data!P$4:P$153,3),3,4)))</f>
        <v>1</v>
      </c>
      <c r="Q87" s="8">
        <f>IF(Data!Q87&lt;=QUARTILE(Data!Q$4:Q$153,1),1,IF(Data!Q87&lt;=MEDIAN(Data!Q$4:Q$153),2,IF(Data!Q87&lt;=QUARTILE(Data!Q$4:Q$153,3),3,4)))</f>
        <v>2</v>
      </c>
      <c r="R87" s="8">
        <f>IF(Data!R87&lt;=QUARTILE(Data!R$4:R$153,1),1,IF(Data!R87&lt;=MEDIAN(Data!R$4:R$153),2,IF(Data!R87&lt;=QUARTILE(Data!R$4:R$153,3),3,4)))</f>
        <v>3</v>
      </c>
      <c r="S87" s="8">
        <f>IF(Data!S87&lt;=QUARTILE(Data!S$4:S$153,1),1,IF(Data!S87&lt;=MEDIAN(Data!S$4:S$153),2,IF(Data!S87&lt;=QUARTILE(Data!S$4:S$153,3),3,4)))</f>
        <v>4</v>
      </c>
      <c r="T87" s="9">
        <f>IF(Data!T87&lt;=QUARTILE(Data!T$4:T$153,1),1,IF(Data!T87&lt;=MEDIAN(Data!T$4:T$153),2,IF(Data!T87&lt;=QUARTILE(Data!T$4:T$153,3),3,4)))</f>
        <v>1</v>
      </c>
      <c r="U87" s="7">
        <f>IF(Data!U87&lt;=QUARTILE(Data!U$4:U$153,1),1,IF(Data!U87&lt;=MEDIAN(Data!U$4:U$153),2,IF(Data!U87&lt;=QUARTILE(Data!U$4:U$153,3),3,4)))</f>
        <v>2</v>
      </c>
      <c r="V87" s="8">
        <f>IF(Data!V87&lt;=QUARTILE(Data!V$4:V$153,1),1,IF(Data!V87&lt;=MEDIAN(Data!V$4:V$153),2,IF(Data!V87&lt;=QUARTILE(Data!V$4:V$153,3),3,4)))</f>
        <v>1</v>
      </c>
      <c r="W87" s="8">
        <f>IF(Data!W87&lt;=QUARTILE(Data!W$4:W$153,1),1,IF(Data!W87&lt;=MEDIAN(Data!W$4:W$153),2,IF(Data!W87&lt;=QUARTILE(Data!W$4:W$153,3),3,4)))</f>
        <v>2</v>
      </c>
      <c r="X87" s="8">
        <f>IF(Data!X87&lt;=QUARTILE(Data!X$4:X$153,1),1,IF(Data!X87&lt;=MEDIAN(Data!X$4:X$153),2,IF(Data!X87&lt;=QUARTILE(Data!X$4:X$153,3),3,4)))</f>
        <v>2</v>
      </c>
      <c r="Y87" s="8">
        <f>IF(Data!Y87&lt;=QUARTILE(Data!Y$4:Y$153,1),1,IF(Data!Y87&lt;=MEDIAN(Data!Y$4:Y$153),2,IF(Data!Y87&lt;=QUARTILE(Data!Y$4:Y$153,3),3,4)))</f>
        <v>3</v>
      </c>
      <c r="Z87" s="8">
        <f>IF(Data!Z87&lt;=QUARTILE(Data!Z$4:Z$153,1),1,IF(Data!Z87&lt;=MEDIAN(Data!Z$4:Z$153),2,IF(Data!Z87&lt;=QUARTILE(Data!Z$4:Z$153,3),3,4)))</f>
        <v>3</v>
      </c>
      <c r="AA87" s="8">
        <f>IF(Data!AA87&lt;=QUARTILE(Data!AA$4:AA$153,1),1,IF(Data!AA87&lt;=MEDIAN(Data!AA$4:AA$153),2,IF(Data!AA87&lt;=QUARTILE(Data!AA$4:AA$153,3),3,4)))</f>
        <v>1</v>
      </c>
      <c r="AB87" s="8">
        <f>IF(Data!AB87&lt;=QUARTILE(Data!AB$4:AB$153,1),1,IF(Data!AB87&lt;=MEDIAN(Data!AB$4:AB$153),2,IF(Data!AB87&lt;=QUARTILE(Data!AB$4:AB$153,3),3,4)))</f>
        <v>1</v>
      </c>
      <c r="AC87" s="8">
        <f>IF(Data!AC87&lt;=QUARTILE(Data!AC$4:AC$153,1),1,IF(Data!AC87&lt;=MEDIAN(Data!AC$4:AC$153),2,IF(Data!AC87&lt;=QUARTILE(Data!AC$4:AC$153,3),3,4)))</f>
        <v>2</v>
      </c>
      <c r="AD87" s="8">
        <f>IF(Data!AD87&lt;=QUARTILE(Data!AD$4:AD$153,1),1,IF(Data!AD87&lt;=MEDIAN(Data!AD$4:AD$153),2,IF(Data!AD87&lt;=QUARTILE(Data!AD$4:AD$153,3),3,4)))</f>
        <v>1</v>
      </c>
      <c r="AE87" s="8">
        <f>IF(Data!AE87&lt;=QUARTILE(Data!AE$4:AE$153,1),1,IF(Data!AE87&lt;=MEDIAN(Data!AE$4:AE$153),2,IF(Data!AE87&lt;=QUARTILE(Data!AE$4:AE$153,3),3,4)))</f>
        <v>2</v>
      </c>
      <c r="AF87" s="8">
        <f>IF(Data!AF87&lt;=QUARTILE(Data!AF$4:AF$153,1),1,IF(Data!AF87&lt;=MEDIAN(Data!AF$4:AF$153),2,IF(Data!AF87&lt;=QUARTILE(Data!AF$4:AF$153,3),3,4)))</f>
        <v>2</v>
      </c>
      <c r="AG87" s="8">
        <f>IF(Data!AG87&lt;=QUARTILE(Data!AG$4:AG$153,1),1,IF(Data!AG87&lt;=MEDIAN(Data!AG$4:AG$153),2,IF(Data!AG87&lt;=QUARTILE(Data!AG$4:AG$153,3),3,4)))</f>
        <v>2</v>
      </c>
      <c r="AH87" s="9">
        <f>IF(Data!AH87&lt;=QUARTILE(Data!AH$4:AH$153,1),1,IF(Data!AH87&lt;=MEDIAN(Data!AH$4:AH$153),2,IF(Data!AH87&lt;=QUARTILE(Data!AH$4:AH$153,3),3,4)))</f>
        <v>2</v>
      </c>
    </row>
    <row r="88" spans="1:34" x14ac:dyDescent="0.25">
      <c r="A88" s="7" t="s">
        <v>20</v>
      </c>
      <c r="B88" s="14" t="s">
        <v>64</v>
      </c>
      <c r="C88" s="7">
        <v>33</v>
      </c>
      <c r="D88" s="8">
        <v>49</v>
      </c>
      <c r="E88" s="42" t="s">
        <v>59</v>
      </c>
      <c r="F88" s="9">
        <v>-1.35</v>
      </c>
      <c r="G88" s="7">
        <f>IF(Data!G88&lt;=QUARTILE(Data!G$4:G$153,1),1,IF(Data!G88&lt;=MEDIAN(Data!G$4:G$153),2,IF(Data!G88&lt;=QUARTILE(Data!G$4:G$153,3),3,4)))</f>
        <v>2</v>
      </c>
      <c r="H88" s="8">
        <f>IF(Data!H88&lt;=QUARTILE(Data!H$4:H$153,1),1,IF(Data!H88&lt;=MEDIAN(Data!H$4:H$153),2,IF(Data!H88&lt;=QUARTILE(Data!H$4:H$153,3),3,4)))</f>
        <v>2</v>
      </c>
      <c r="I88" s="8">
        <f>IF(Data!I88&lt;=QUARTILE(Data!I$4:I$153,1),1,IF(Data!I88&lt;=MEDIAN(Data!I$4:I$153),2,IF(Data!I88&lt;=QUARTILE(Data!I$4:I$153,3),3,4)))</f>
        <v>3</v>
      </c>
      <c r="J88" s="8">
        <f>IF(Data!J88&lt;=QUARTILE(Data!J$4:J$153,1),1,IF(Data!J88&lt;=MEDIAN(Data!J$4:J$153),2,IF(Data!J88&lt;=QUARTILE(Data!J$4:J$153,3),3,4)))</f>
        <v>3</v>
      </c>
      <c r="K88" s="8">
        <f>IF(Data!K88&lt;=QUARTILE(Data!K$4:K$153,1),1,IF(Data!K88&lt;=MEDIAN(Data!K$4:K$153),2,IF(Data!K88&lt;=QUARTILE(Data!K$4:K$153,3),3,4)))</f>
        <v>4</v>
      </c>
      <c r="L88" s="8">
        <f>IF(Data!L88&lt;=QUARTILE(Data!L$4:L$153,1),1,IF(Data!L88&lt;=MEDIAN(Data!L$4:L$153),2,IF(Data!L88&lt;=QUARTILE(Data!L$4:L$153,3),3,4)))</f>
        <v>4</v>
      </c>
      <c r="M88" s="8">
        <f>IF(Data!M88&lt;=QUARTILE(Data!M$4:M$153,1),1,IF(Data!M88&lt;=MEDIAN(Data!M$4:M$153),2,IF(Data!M88&lt;=QUARTILE(Data!M$4:M$153,3),3,4)))</f>
        <v>1</v>
      </c>
      <c r="N88" s="8">
        <f>IF(Data!N88&lt;=QUARTILE(Data!N$4:N$153,1),1,IF(Data!N88&lt;=MEDIAN(Data!N$4:N$153),2,IF(Data!N88&lt;=QUARTILE(Data!N$4:N$153,3),3,4)))</f>
        <v>2</v>
      </c>
      <c r="O88" s="8">
        <f>IF(Data!O88&lt;=QUARTILE(Data!O$4:O$153,1),1,IF(Data!O88&lt;=MEDIAN(Data!O$4:O$153),2,IF(Data!O88&lt;=QUARTILE(Data!O$4:O$153,3),3,4)))</f>
        <v>2</v>
      </c>
      <c r="P88" s="8">
        <f>IF(Data!P88&lt;=QUARTILE(Data!P$4:P$153,1),1,IF(Data!P88&lt;=MEDIAN(Data!P$4:P$153),2,IF(Data!P88&lt;=QUARTILE(Data!P$4:P$153,3),3,4)))</f>
        <v>4</v>
      </c>
      <c r="Q88" s="8">
        <f>IF(Data!Q88&lt;=QUARTILE(Data!Q$4:Q$153,1),1,IF(Data!Q88&lt;=MEDIAN(Data!Q$4:Q$153),2,IF(Data!Q88&lt;=QUARTILE(Data!Q$4:Q$153,3),3,4)))</f>
        <v>1</v>
      </c>
      <c r="R88" s="8">
        <f>IF(Data!R88&lt;=QUARTILE(Data!R$4:R$153,1),1,IF(Data!R88&lt;=MEDIAN(Data!R$4:R$153),2,IF(Data!R88&lt;=QUARTILE(Data!R$4:R$153,3),3,4)))</f>
        <v>3</v>
      </c>
      <c r="S88" s="8">
        <f>IF(Data!S88&lt;=QUARTILE(Data!S$4:S$153,1),1,IF(Data!S88&lt;=MEDIAN(Data!S$4:S$153),2,IF(Data!S88&lt;=QUARTILE(Data!S$4:S$153,3),3,4)))</f>
        <v>2</v>
      </c>
      <c r="T88" s="9">
        <f>IF(Data!T88&lt;=QUARTILE(Data!T$4:T$153,1),1,IF(Data!T88&lt;=MEDIAN(Data!T$4:T$153),2,IF(Data!T88&lt;=QUARTILE(Data!T$4:T$153,3),3,4)))</f>
        <v>4</v>
      </c>
      <c r="U88" s="7">
        <f>IF(Data!U88&lt;=QUARTILE(Data!U$4:U$153,1),1,IF(Data!U88&lt;=MEDIAN(Data!U$4:U$153),2,IF(Data!U88&lt;=QUARTILE(Data!U$4:U$153,3),3,4)))</f>
        <v>4</v>
      </c>
      <c r="V88" s="8">
        <f>IF(Data!V88&lt;=QUARTILE(Data!V$4:V$153,1),1,IF(Data!V88&lt;=MEDIAN(Data!V$4:V$153),2,IF(Data!V88&lt;=QUARTILE(Data!V$4:V$153,3),3,4)))</f>
        <v>3</v>
      </c>
      <c r="W88" s="8">
        <f>IF(Data!W88&lt;=QUARTILE(Data!W$4:W$153,1),1,IF(Data!W88&lt;=MEDIAN(Data!W$4:W$153),2,IF(Data!W88&lt;=QUARTILE(Data!W$4:W$153,3),3,4)))</f>
        <v>4</v>
      </c>
      <c r="X88" s="8">
        <f>IF(Data!X88&lt;=QUARTILE(Data!X$4:X$153,1),1,IF(Data!X88&lt;=MEDIAN(Data!X$4:X$153),2,IF(Data!X88&lt;=QUARTILE(Data!X$4:X$153,3),3,4)))</f>
        <v>4</v>
      </c>
      <c r="Y88" s="8">
        <f>IF(Data!Y88&lt;=QUARTILE(Data!Y$4:Y$153,1),1,IF(Data!Y88&lt;=MEDIAN(Data!Y$4:Y$153),2,IF(Data!Y88&lt;=QUARTILE(Data!Y$4:Y$153,3),3,4)))</f>
        <v>3</v>
      </c>
      <c r="Z88" s="8">
        <f>IF(Data!Z88&lt;=QUARTILE(Data!Z$4:Z$153,1),1,IF(Data!Z88&lt;=MEDIAN(Data!Z$4:Z$153),2,IF(Data!Z88&lt;=QUARTILE(Data!Z$4:Z$153,3),3,4)))</f>
        <v>3</v>
      </c>
      <c r="AA88" s="8">
        <f>IF(Data!AA88&lt;=QUARTILE(Data!AA$4:AA$153,1),1,IF(Data!AA88&lt;=MEDIAN(Data!AA$4:AA$153),2,IF(Data!AA88&lt;=QUARTILE(Data!AA$4:AA$153,3),3,4)))</f>
        <v>2</v>
      </c>
      <c r="AB88" s="8">
        <f>IF(Data!AB88&lt;=QUARTILE(Data!AB$4:AB$153,1),1,IF(Data!AB88&lt;=MEDIAN(Data!AB$4:AB$153),2,IF(Data!AB88&lt;=QUARTILE(Data!AB$4:AB$153,3),3,4)))</f>
        <v>4</v>
      </c>
      <c r="AC88" s="8">
        <f>IF(Data!AC88&lt;=QUARTILE(Data!AC$4:AC$153,1),1,IF(Data!AC88&lt;=MEDIAN(Data!AC$4:AC$153),2,IF(Data!AC88&lt;=QUARTILE(Data!AC$4:AC$153,3),3,4)))</f>
        <v>4</v>
      </c>
      <c r="AD88" s="8">
        <f>IF(Data!AD88&lt;=QUARTILE(Data!AD$4:AD$153,1),1,IF(Data!AD88&lt;=MEDIAN(Data!AD$4:AD$153),2,IF(Data!AD88&lt;=QUARTILE(Data!AD$4:AD$153,3),3,4)))</f>
        <v>2</v>
      </c>
      <c r="AE88" s="8">
        <f>IF(Data!AE88&lt;=QUARTILE(Data!AE$4:AE$153,1),1,IF(Data!AE88&lt;=MEDIAN(Data!AE$4:AE$153),2,IF(Data!AE88&lt;=QUARTILE(Data!AE$4:AE$153,3),3,4)))</f>
        <v>3</v>
      </c>
      <c r="AF88" s="8">
        <f>IF(Data!AF88&lt;=QUARTILE(Data!AF$4:AF$153,1),1,IF(Data!AF88&lt;=MEDIAN(Data!AF$4:AF$153),2,IF(Data!AF88&lt;=QUARTILE(Data!AF$4:AF$153,3),3,4)))</f>
        <v>4</v>
      </c>
      <c r="AG88" s="8">
        <f>IF(Data!AG88&lt;=QUARTILE(Data!AG$4:AG$153,1),1,IF(Data!AG88&lt;=MEDIAN(Data!AG$4:AG$153),2,IF(Data!AG88&lt;=QUARTILE(Data!AG$4:AG$153,3),3,4)))</f>
        <v>4</v>
      </c>
      <c r="AH88" s="9">
        <f>IF(Data!AH88&lt;=QUARTILE(Data!AH$4:AH$153,1),1,IF(Data!AH88&lt;=MEDIAN(Data!AH$4:AH$153),2,IF(Data!AH88&lt;=QUARTILE(Data!AH$4:AH$153,3),3,4)))</f>
        <v>4</v>
      </c>
    </row>
    <row r="89" spans="1:34" x14ac:dyDescent="0.25">
      <c r="A89" s="7" t="s">
        <v>76</v>
      </c>
      <c r="B89" s="14" t="s">
        <v>64</v>
      </c>
      <c r="C89" s="7">
        <v>58</v>
      </c>
      <c r="D89" s="8">
        <v>24</v>
      </c>
      <c r="E89" s="42" t="s">
        <v>58</v>
      </c>
      <c r="F89" s="9">
        <v>8.35</v>
      </c>
      <c r="G89" s="7">
        <f>IF(Data!G89&lt;=QUARTILE(Data!G$4:G$153,1),1,IF(Data!G89&lt;=MEDIAN(Data!G$4:G$153),2,IF(Data!G89&lt;=QUARTILE(Data!G$4:G$153,3),3,4)))</f>
        <v>3</v>
      </c>
      <c r="H89" s="8">
        <f>IF(Data!H89&lt;=QUARTILE(Data!H$4:H$153,1),1,IF(Data!H89&lt;=MEDIAN(Data!H$4:H$153),2,IF(Data!H89&lt;=QUARTILE(Data!H$4:H$153,3),3,4)))</f>
        <v>1</v>
      </c>
      <c r="I89" s="8">
        <f>IF(Data!I89&lt;=QUARTILE(Data!I$4:I$153,1),1,IF(Data!I89&lt;=MEDIAN(Data!I$4:I$153),2,IF(Data!I89&lt;=QUARTILE(Data!I$4:I$153,3),3,4)))</f>
        <v>4</v>
      </c>
      <c r="J89" s="8">
        <f>IF(Data!J89&lt;=QUARTILE(Data!J$4:J$153,1),1,IF(Data!J89&lt;=MEDIAN(Data!J$4:J$153),2,IF(Data!J89&lt;=QUARTILE(Data!J$4:J$153,3),3,4)))</f>
        <v>3</v>
      </c>
      <c r="K89" s="8">
        <f>IF(Data!K89&lt;=QUARTILE(Data!K$4:K$153,1),1,IF(Data!K89&lt;=MEDIAN(Data!K$4:K$153),2,IF(Data!K89&lt;=QUARTILE(Data!K$4:K$153,3),3,4)))</f>
        <v>1</v>
      </c>
      <c r="L89" s="8">
        <f>IF(Data!L89&lt;=QUARTILE(Data!L$4:L$153,1),1,IF(Data!L89&lt;=MEDIAN(Data!L$4:L$153),2,IF(Data!L89&lt;=QUARTILE(Data!L$4:L$153,3),3,4)))</f>
        <v>2</v>
      </c>
      <c r="M89" s="8">
        <f>IF(Data!M89&lt;=QUARTILE(Data!M$4:M$153,1),1,IF(Data!M89&lt;=MEDIAN(Data!M$4:M$153),2,IF(Data!M89&lt;=QUARTILE(Data!M$4:M$153,3),3,4)))</f>
        <v>1</v>
      </c>
      <c r="N89" s="8">
        <f>IF(Data!N89&lt;=QUARTILE(Data!N$4:N$153,1),1,IF(Data!N89&lt;=MEDIAN(Data!N$4:N$153),2,IF(Data!N89&lt;=QUARTILE(Data!N$4:N$153,3),3,4)))</f>
        <v>4</v>
      </c>
      <c r="O89" s="8">
        <f>IF(Data!O89&lt;=QUARTILE(Data!O$4:O$153,1),1,IF(Data!O89&lt;=MEDIAN(Data!O$4:O$153),2,IF(Data!O89&lt;=QUARTILE(Data!O$4:O$153,3),3,4)))</f>
        <v>3</v>
      </c>
      <c r="P89" s="8">
        <f>IF(Data!P89&lt;=QUARTILE(Data!P$4:P$153,1),1,IF(Data!P89&lt;=MEDIAN(Data!P$4:P$153),2,IF(Data!P89&lt;=QUARTILE(Data!P$4:P$153,3),3,4)))</f>
        <v>2</v>
      </c>
      <c r="Q89" s="8">
        <f>IF(Data!Q89&lt;=QUARTILE(Data!Q$4:Q$153,1),1,IF(Data!Q89&lt;=MEDIAN(Data!Q$4:Q$153),2,IF(Data!Q89&lt;=QUARTILE(Data!Q$4:Q$153,3),3,4)))</f>
        <v>3</v>
      </c>
      <c r="R89" s="8">
        <f>IF(Data!R89&lt;=QUARTILE(Data!R$4:R$153,1),1,IF(Data!R89&lt;=MEDIAN(Data!R$4:R$153),2,IF(Data!R89&lt;=QUARTILE(Data!R$4:R$153,3),3,4)))</f>
        <v>2</v>
      </c>
      <c r="S89" s="8">
        <f>IF(Data!S89&lt;=QUARTILE(Data!S$4:S$153,1),1,IF(Data!S89&lt;=MEDIAN(Data!S$4:S$153),2,IF(Data!S89&lt;=QUARTILE(Data!S$4:S$153,3),3,4)))</f>
        <v>1</v>
      </c>
      <c r="T89" s="9">
        <f>IF(Data!T89&lt;=QUARTILE(Data!T$4:T$153,1),1,IF(Data!T89&lt;=MEDIAN(Data!T$4:T$153),2,IF(Data!T89&lt;=QUARTILE(Data!T$4:T$153,3),3,4)))</f>
        <v>3</v>
      </c>
      <c r="U89" s="7">
        <f>IF(Data!U89&lt;=QUARTILE(Data!U$4:U$153,1),1,IF(Data!U89&lt;=MEDIAN(Data!U$4:U$153),2,IF(Data!U89&lt;=QUARTILE(Data!U$4:U$153,3),3,4)))</f>
        <v>1</v>
      </c>
      <c r="V89" s="8">
        <f>IF(Data!V89&lt;=QUARTILE(Data!V$4:V$153,1),1,IF(Data!V89&lt;=MEDIAN(Data!V$4:V$153),2,IF(Data!V89&lt;=QUARTILE(Data!V$4:V$153,3),3,4)))</f>
        <v>2</v>
      </c>
      <c r="W89" s="8">
        <f>IF(Data!W89&lt;=QUARTILE(Data!W$4:W$153,1),1,IF(Data!W89&lt;=MEDIAN(Data!W$4:W$153),2,IF(Data!W89&lt;=QUARTILE(Data!W$4:W$153,3),3,4)))</f>
        <v>1</v>
      </c>
      <c r="X89" s="8">
        <f>IF(Data!X89&lt;=QUARTILE(Data!X$4:X$153,1),1,IF(Data!X89&lt;=MEDIAN(Data!X$4:X$153),2,IF(Data!X89&lt;=QUARTILE(Data!X$4:X$153,3),3,4)))</f>
        <v>1</v>
      </c>
      <c r="Y89" s="8">
        <f>IF(Data!Y89&lt;=QUARTILE(Data!Y$4:Y$153,1),1,IF(Data!Y89&lt;=MEDIAN(Data!Y$4:Y$153),2,IF(Data!Y89&lt;=QUARTILE(Data!Y$4:Y$153,3),3,4)))</f>
        <v>1</v>
      </c>
      <c r="Z89" s="8">
        <f>IF(Data!Z89&lt;=QUARTILE(Data!Z$4:Z$153,1),1,IF(Data!Z89&lt;=MEDIAN(Data!Z$4:Z$153),2,IF(Data!Z89&lt;=QUARTILE(Data!Z$4:Z$153,3),3,4)))</f>
        <v>1</v>
      </c>
      <c r="AA89" s="8">
        <f>IF(Data!AA89&lt;=QUARTILE(Data!AA$4:AA$153,1),1,IF(Data!AA89&lt;=MEDIAN(Data!AA$4:AA$153),2,IF(Data!AA89&lt;=QUARTILE(Data!AA$4:AA$153,3),3,4)))</f>
        <v>1</v>
      </c>
      <c r="AB89" s="8">
        <f>IF(Data!AB89&lt;=QUARTILE(Data!AB$4:AB$153,1),1,IF(Data!AB89&lt;=MEDIAN(Data!AB$4:AB$153),2,IF(Data!AB89&lt;=QUARTILE(Data!AB$4:AB$153,3),3,4)))</f>
        <v>1</v>
      </c>
      <c r="AC89" s="8">
        <f>IF(Data!AC89&lt;=QUARTILE(Data!AC$4:AC$153,1),1,IF(Data!AC89&lt;=MEDIAN(Data!AC$4:AC$153),2,IF(Data!AC89&lt;=QUARTILE(Data!AC$4:AC$153,3),3,4)))</f>
        <v>1</v>
      </c>
      <c r="AD89" s="8">
        <f>IF(Data!AD89&lt;=QUARTILE(Data!AD$4:AD$153,1),1,IF(Data!AD89&lt;=MEDIAN(Data!AD$4:AD$153),2,IF(Data!AD89&lt;=QUARTILE(Data!AD$4:AD$153,3),3,4)))</f>
        <v>2</v>
      </c>
      <c r="AE89" s="8">
        <f>IF(Data!AE89&lt;=QUARTILE(Data!AE$4:AE$153,1),1,IF(Data!AE89&lt;=MEDIAN(Data!AE$4:AE$153),2,IF(Data!AE89&lt;=QUARTILE(Data!AE$4:AE$153,3),3,4)))</f>
        <v>1</v>
      </c>
      <c r="AF89" s="8">
        <f>IF(Data!AF89&lt;=QUARTILE(Data!AF$4:AF$153,1),1,IF(Data!AF89&lt;=MEDIAN(Data!AF$4:AF$153),2,IF(Data!AF89&lt;=QUARTILE(Data!AF$4:AF$153,3),3,4)))</f>
        <v>2</v>
      </c>
      <c r="AG89" s="8">
        <f>IF(Data!AG89&lt;=QUARTILE(Data!AG$4:AG$153,1),1,IF(Data!AG89&lt;=MEDIAN(Data!AG$4:AG$153),2,IF(Data!AG89&lt;=QUARTILE(Data!AG$4:AG$153,3),3,4)))</f>
        <v>2</v>
      </c>
      <c r="AH89" s="9">
        <f>IF(Data!AH89&lt;=QUARTILE(Data!AH$4:AH$153,1),1,IF(Data!AH89&lt;=MEDIAN(Data!AH$4:AH$153),2,IF(Data!AH89&lt;=QUARTILE(Data!AH$4:AH$153,3),3,4)))</f>
        <v>1</v>
      </c>
    </row>
    <row r="90" spans="1:34" x14ac:dyDescent="0.25">
      <c r="A90" s="7" t="s">
        <v>56</v>
      </c>
      <c r="B90" s="14" t="s">
        <v>64</v>
      </c>
      <c r="C90" s="7">
        <v>31</v>
      </c>
      <c r="D90" s="8">
        <v>51</v>
      </c>
      <c r="E90" s="42" t="s">
        <v>59</v>
      </c>
      <c r="F90" s="9">
        <v>-2.4500000000000002</v>
      </c>
      <c r="G90" s="7">
        <f>IF(Data!G90&lt;=QUARTILE(Data!G$4:G$153,1),1,IF(Data!G90&lt;=MEDIAN(Data!G$4:G$153),2,IF(Data!G90&lt;=QUARTILE(Data!G$4:G$153,3),3,4)))</f>
        <v>3</v>
      </c>
      <c r="H90" s="8">
        <f>IF(Data!H90&lt;=QUARTILE(Data!H$4:H$153,1),1,IF(Data!H90&lt;=MEDIAN(Data!H$4:H$153),2,IF(Data!H90&lt;=QUARTILE(Data!H$4:H$153,3),3,4)))</f>
        <v>3</v>
      </c>
      <c r="I90" s="8">
        <f>IF(Data!I90&lt;=QUARTILE(Data!I$4:I$153,1),1,IF(Data!I90&lt;=MEDIAN(Data!I$4:I$153),2,IF(Data!I90&lt;=QUARTILE(Data!I$4:I$153,3),3,4)))</f>
        <v>3</v>
      </c>
      <c r="J90" s="8">
        <f>IF(Data!J90&lt;=QUARTILE(Data!J$4:J$153,1),1,IF(Data!J90&lt;=MEDIAN(Data!J$4:J$153),2,IF(Data!J90&lt;=QUARTILE(Data!J$4:J$153,3),3,4)))</f>
        <v>3</v>
      </c>
      <c r="K90" s="8">
        <f>IF(Data!K90&lt;=QUARTILE(Data!K$4:K$153,1),1,IF(Data!K90&lt;=MEDIAN(Data!K$4:K$153),2,IF(Data!K90&lt;=QUARTILE(Data!K$4:K$153,3),3,4)))</f>
        <v>2</v>
      </c>
      <c r="L90" s="8">
        <f>IF(Data!L90&lt;=QUARTILE(Data!L$4:L$153,1),1,IF(Data!L90&lt;=MEDIAN(Data!L$4:L$153),2,IF(Data!L90&lt;=QUARTILE(Data!L$4:L$153,3),3,4)))</f>
        <v>1</v>
      </c>
      <c r="M90" s="8">
        <f>IF(Data!M90&lt;=QUARTILE(Data!M$4:M$153,1),1,IF(Data!M90&lt;=MEDIAN(Data!M$4:M$153),2,IF(Data!M90&lt;=QUARTILE(Data!M$4:M$153,3),3,4)))</f>
        <v>3</v>
      </c>
      <c r="N90" s="8">
        <f>IF(Data!N90&lt;=QUARTILE(Data!N$4:N$153,1),1,IF(Data!N90&lt;=MEDIAN(Data!N$4:N$153),2,IF(Data!N90&lt;=QUARTILE(Data!N$4:N$153,3),3,4)))</f>
        <v>1</v>
      </c>
      <c r="O90" s="8">
        <f>IF(Data!O90&lt;=QUARTILE(Data!O$4:O$153,1),1,IF(Data!O90&lt;=MEDIAN(Data!O$4:O$153),2,IF(Data!O90&lt;=QUARTILE(Data!O$4:O$153,3),3,4)))</f>
        <v>2</v>
      </c>
      <c r="P90" s="8">
        <f>IF(Data!P90&lt;=QUARTILE(Data!P$4:P$153,1),1,IF(Data!P90&lt;=MEDIAN(Data!P$4:P$153),2,IF(Data!P90&lt;=QUARTILE(Data!P$4:P$153,3),3,4)))</f>
        <v>3</v>
      </c>
      <c r="Q90" s="8">
        <f>IF(Data!Q90&lt;=QUARTILE(Data!Q$4:Q$153,1),1,IF(Data!Q90&lt;=MEDIAN(Data!Q$4:Q$153),2,IF(Data!Q90&lt;=QUARTILE(Data!Q$4:Q$153,3),3,4)))</f>
        <v>1</v>
      </c>
      <c r="R90" s="8">
        <f>IF(Data!R90&lt;=QUARTILE(Data!R$4:R$153,1),1,IF(Data!R90&lt;=MEDIAN(Data!R$4:R$153),2,IF(Data!R90&lt;=QUARTILE(Data!R$4:R$153,3),3,4)))</f>
        <v>4</v>
      </c>
      <c r="S90" s="8">
        <f>IF(Data!S90&lt;=QUARTILE(Data!S$4:S$153,1),1,IF(Data!S90&lt;=MEDIAN(Data!S$4:S$153),2,IF(Data!S90&lt;=QUARTILE(Data!S$4:S$153,3),3,4)))</f>
        <v>2</v>
      </c>
      <c r="T90" s="9">
        <f>IF(Data!T90&lt;=QUARTILE(Data!T$4:T$153,1),1,IF(Data!T90&lt;=MEDIAN(Data!T$4:T$153),2,IF(Data!T90&lt;=QUARTILE(Data!T$4:T$153,3),3,4)))</f>
        <v>3</v>
      </c>
      <c r="U90" s="7">
        <f>IF(Data!U90&lt;=QUARTILE(Data!U$4:U$153,1),1,IF(Data!U90&lt;=MEDIAN(Data!U$4:U$153),2,IF(Data!U90&lt;=QUARTILE(Data!U$4:U$153,3),3,4)))</f>
        <v>4</v>
      </c>
      <c r="V90" s="8">
        <f>IF(Data!V90&lt;=QUARTILE(Data!V$4:V$153,1),1,IF(Data!V90&lt;=MEDIAN(Data!V$4:V$153),2,IF(Data!V90&lt;=QUARTILE(Data!V$4:V$153,3),3,4)))</f>
        <v>3</v>
      </c>
      <c r="W90" s="8">
        <f>IF(Data!W90&lt;=QUARTILE(Data!W$4:W$153,1),1,IF(Data!W90&lt;=MEDIAN(Data!W$4:W$153),2,IF(Data!W90&lt;=QUARTILE(Data!W$4:W$153,3),3,4)))</f>
        <v>3</v>
      </c>
      <c r="X90" s="8">
        <f>IF(Data!X90&lt;=QUARTILE(Data!X$4:X$153,1),1,IF(Data!X90&lt;=MEDIAN(Data!X$4:X$153),2,IF(Data!X90&lt;=QUARTILE(Data!X$4:X$153,3),3,4)))</f>
        <v>3</v>
      </c>
      <c r="Y90" s="8">
        <f>IF(Data!Y90&lt;=QUARTILE(Data!Y$4:Y$153,1),1,IF(Data!Y90&lt;=MEDIAN(Data!Y$4:Y$153),2,IF(Data!Y90&lt;=QUARTILE(Data!Y$4:Y$153,3),3,4)))</f>
        <v>3</v>
      </c>
      <c r="Z90" s="8">
        <f>IF(Data!Z90&lt;=QUARTILE(Data!Z$4:Z$153,1),1,IF(Data!Z90&lt;=MEDIAN(Data!Z$4:Z$153),2,IF(Data!Z90&lt;=QUARTILE(Data!Z$4:Z$153,3),3,4)))</f>
        <v>3</v>
      </c>
      <c r="AA90" s="8">
        <f>IF(Data!AA90&lt;=QUARTILE(Data!AA$4:AA$153,1),1,IF(Data!AA90&lt;=MEDIAN(Data!AA$4:AA$153),2,IF(Data!AA90&lt;=QUARTILE(Data!AA$4:AA$153,3),3,4)))</f>
        <v>3</v>
      </c>
      <c r="AB90" s="8">
        <f>IF(Data!AB90&lt;=QUARTILE(Data!AB$4:AB$153,1),1,IF(Data!AB90&lt;=MEDIAN(Data!AB$4:AB$153),2,IF(Data!AB90&lt;=QUARTILE(Data!AB$4:AB$153,3),3,4)))</f>
        <v>2</v>
      </c>
      <c r="AC90" s="8">
        <f>IF(Data!AC90&lt;=QUARTILE(Data!AC$4:AC$153,1),1,IF(Data!AC90&lt;=MEDIAN(Data!AC$4:AC$153),2,IF(Data!AC90&lt;=QUARTILE(Data!AC$4:AC$153,3),3,4)))</f>
        <v>4</v>
      </c>
      <c r="AD90" s="8">
        <f>IF(Data!AD90&lt;=QUARTILE(Data!AD$4:AD$153,1),1,IF(Data!AD90&lt;=MEDIAN(Data!AD$4:AD$153),2,IF(Data!AD90&lt;=QUARTILE(Data!AD$4:AD$153,3),3,4)))</f>
        <v>2</v>
      </c>
      <c r="AE90" s="8">
        <f>IF(Data!AE90&lt;=QUARTILE(Data!AE$4:AE$153,1),1,IF(Data!AE90&lt;=MEDIAN(Data!AE$4:AE$153),2,IF(Data!AE90&lt;=QUARTILE(Data!AE$4:AE$153,3),3,4)))</f>
        <v>1</v>
      </c>
      <c r="AF90" s="8">
        <f>IF(Data!AF90&lt;=QUARTILE(Data!AF$4:AF$153,1),1,IF(Data!AF90&lt;=MEDIAN(Data!AF$4:AF$153),2,IF(Data!AF90&lt;=QUARTILE(Data!AF$4:AF$153,3),3,4)))</f>
        <v>3</v>
      </c>
      <c r="AG90" s="8">
        <f>IF(Data!AG90&lt;=QUARTILE(Data!AG$4:AG$153,1),1,IF(Data!AG90&lt;=MEDIAN(Data!AG$4:AG$153),2,IF(Data!AG90&lt;=QUARTILE(Data!AG$4:AG$153,3),3,4)))</f>
        <v>1</v>
      </c>
      <c r="AH90" s="9">
        <f>IF(Data!AH90&lt;=QUARTILE(Data!AH$4:AH$153,1),1,IF(Data!AH90&lt;=MEDIAN(Data!AH$4:AH$153),2,IF(Data!AH90&lt;=QUARTILE(Data!AH$4:AH$153,3),3,4)))</f>
        <v>4</v>
      </c>
    </row>
    <row r="91" spans="1:34" x14ac:dyDescent="0.25">
      <c r="A91" s="7" t="s">
        <v>22</v>
      </c>
      <c r="B91" s="14" t="s">
        <v>64</v>
      </c>
      <c r="C91" s="7">
        <v>47</v>
      </c>
      <c r="D91" s="8">
        <v>35</v>
      </c>
      <c r="E91" s="42" t="s">
        <v>58</v>
      </c>
      <c r="F91" s="9">
        <v>0.61</v>
      </c>
      <c r="G91" s="7">
        <f>IF(Data!G91&lt;=QUARTILE(Data!G$4:G$153,1),1,IF(Data!G91&lt;=MEDIAN(Data!G$4:G$153),2,IF(Data!G91&lt;=QUARTILE(Data!G$4:G$153,3),3,4)))</f>
        <v>3</v>
      </c>
      <c r="H91" s="8">
        <f>IF(Data!H91&lt;=QUARTILE(Data!H$4:H$153,1),1,IF(Data!H91&lt;=MEDIAN(Data!H$4:H$153),2,IF(Data!H91&lt;=QUARTILE(Data!H$4:H$153,3),3,4)))</f>
        <v>2</v>
      </c>
      <c r="I91" s="8">
        <f>IF(Data!I91&lt;=QUARTILE(Data!I$4:I$153,1),1,IF(Data!I91&lt;=MEDIAN(Data!I$4:I$153),2,IF(Data!I91&lt;=QUARTILE(Data!I$4:I$153,3),3,4)))</f>
        <v>3</v>
      </c>
      <c r="J91" s="8">
        <f>IF(Data!J91&lt;=QUARTILE(Data!J$4:J$153,1),1,IF(Data!J91&lt;=MEDIAN(Data!J$4:J$153),2,IF(Data!J91&lt;=QUARTILE(Data!J$4:J$153,3),3,4)))</f>
        <v>3</v>
      </c>
      <c r="K91" s="8">
        <f>IF(Data!K91&lt;=QUARTILE(Data!K$4:K$153,1),1,IF(Data!K91&lt;=MEDIAN(Data!K$4:K$153),2,IF(Data!K91&lt;=QUARTILE(Data!K$4:K$153,3),3,4)))</f>
        <v>2</v>
      </c>
      <c r="L91" s="8">
        <f>IF(Data!L91&lt;=QUARTILE(Data!L$4:L$153,1),1,IF(Data!L91&lt;=MEDIAN(Data!L$4:L$153),2,IF(Data!L91&lt;=QUARTILE(Data!L$4:L$153,3),3,4)))</f>
        <v>2</v>
      </c>
      <c r="M91" s="8">
        <f>IF(Data!M91&lt;=QUARTILE(Data!M$4:M$153,1),1,IF(Data!M91&lt;=MEDIAN(Data!M$4:M$153),2,IF(Data!M91&lt;=QUARTILE(Data!M$4:M$153,3),3,4)))</f>
        <v>1</v>
      </c>
      <c r="N91" s="8">
        <f>IF(Data!N91&lt;=QUARTILE(Data!N$4:N$153,1),1,IF(Data!N91&lt;=MEDIAN(Data!N$4:N$153),2,IF(Data!N91&lt;=QUARTILE(Data!N$4:N$153,3),3,4)))</f>
        <v>3</v>
      </c>
      <c r="O91" s="8">
        <f>IF(Data!O91&lt;=QUARTILE(Data!O$4:O$153,1),1,IF(Data!O91&lt;=MEDIAN(Data!O$4:O$153),2,IF(Data!O91&lt;=QUARTILE(Data!O$4:O$153,3),3,4)))</f>
        <v>4</v>
      </c>
      <c r="P91" s="8">
        <f>IF(Data!P91&lt;=QUARTILE(Data!P$4:P$153,1),1,IF(Data!P91&lt;=MEDIAN(Data!P$4:P$153),2,IF(Data!P91&lt;=QUARTILE(Data!P$4:P$153,3),3,4)))</f>
        <v>2</v>
      </c>
      <c r="Q91" s="8">
        <f>IF(Data!Q91&lt;=QUARTILE(Data!Q$4:Q$153,1),1,IF(Data!Q91&lt;=MEDIAN(Data!Q$4:Q$153),2,IF(Data!Q91&lt;=QUARTILE(Data!Q$4:Q$153,3),3,4)))</f>
        <v>1</v>
      </c>
      <c r="R91" s="8">
        <f>IF(Data!R91&lt;=QUARTILE(Data!R$4:R$153,1),1,IF(Data!R91&lt;=MEDIAN(Data!R$4:R$153),2,IF(Data!R91&lt;=QUARTILE(Data!R$4:R$153,3),3,4)))</f>
        <v>1</v>
      </c>
      <c r="S91" s="8">
        <f>IF(Data!S91&lt;=QUARTILE(Data!S$4:S$153,1),1,IF(Data!S91&lt;=MEDIAN(Data!S$4:S$153),2,IF(Data!S91&lt;=QUARTILE(Data!S$4:S$153,3),3,4)))</f>
        <v>1</v>
      </c>
      <c r="T91" s="9">
        <f>IF(Data!T91&lt;=QUARTILE(Data!T$4:T$153,1),1,IF(Data!T91&lt;=MEDIAN(Data!T$4:T$153),2,IF(Data!T91&lt;=QUARTILE(Data!T$4:T$153,3),3,4)))</f>
        <v>3</v>
      </c>
      <c r="U91" s="7">
        <f>IF(Data!U91&lt;=QUARTILE(Data!U$4:U$153,1),1,IF(Data!U91&lt;=MEDIAN(Data!U$4:U$153),2,IF(Data!U91&lt;=QUARTILE(Data!U$4:U$153,3),3,4)))</f>
        <v>3</v>
      </c>
      <c r="V91" s="8">
        <f>IF(Data!V91&lt;=QUARTILE(Data!V$4:V$153,1),1,IF(Data!V91&lt;=MEDIAN(Data!V$4:V$153),2,IF(Data!V91&lt;=QUARTILE(Data!V$4:V$153,3),3,4)))</f>
        <v>3</v>
      </c>
      <c r="W91" s="8">
        <f>IF(Data!W91&lt;=QUARTILE(Data!W$4:W$153,1),1,IF(Data!W91&lt;=MEDIAN(Data!W$4:W$153),2,IF(Data!W91&lt;=QUARTILE(Data!W$4:W$153,3),3,4)))</f>
        <v>3</v>
      </c>
      <c r="X91" s="8">
        <f>IF(Data!X91&lt;=QUARTILE(Data!X$4:X$153,1),1,IF(Data!X91&lt;=MEDIAN(Data!X$4:X$153),2,IF(Data!X91&lt;=QUARTILE(Data!X$4:X$153,3),3,4)))</f>
        <v>3</v>
      </c>
      <c r="Y91" s="8">
        <f>IF(Data!Y91&lt;=QUARTILE(Data!Y$4:Y$153,1),1,IF(Data!Y91&lt;=MEDIAN(Data!Y$4:Y$153),2,IF(Data!Y91&lt;=QUARTILE(Data!Y$4:Y$153,3),3,4)))</f>
        <v>1</v>
      </c>
      <c r="Z91" s="8">
        <f>IF(Data!Z91&lt;=QUARTILE(Data!Z$4:Z$153,1),1,IF(Data!Z91&lt;=MEDIAN(Data!Z$4:Z$153),2,IF(Data!Z91&lt;=QUARTILE(Data!Z$4:Z$153,3),3,4)))</f>
        <v>1</v>
      </c>
      <c r="AA91" s="8">
        <f>IF(Data!AA91&lt;=QUARTILE(Data!AA$4:AA$153,1),1,IF(Data!AA91&lt;=MEDIAN(Data!AA$4:AA$153),2,IF(Data!AA91&lt;=QUARTILE(Data!AA$4:AA$153,3),3,4)))</f>
        <v>1</v>
      </c>
      <c r="AB91" s="8">
        <f>IF(Data!AB91&lt;=QUARTILE(Data!AB$4:AB$153,1),1,IF(Data!AB91&lt;=MEDIAN(Data!AB$4:AB$153),2,IF(Data!AB91&lt;=QUARTILE(Data!AB$4:AB$153,3),3,4)))</f>
        <v>4</v>
      </c>
      <c r="AC91" s="8">
        <f>IF(Data!AC91&lt;=QUARTILE(Data!AC$4:AC$153,1),1,IF(Data!AC91&lt;=MEDIAN(Data!AC$4:AC$153),2,IF(Data!AC91&lt;=QUARTILE(Data!AC$4:AC$153,3),3,4)))</f>
        <v>3</v>
      </c>
      <c r="AD91" s="8">
        <f>IF(Data!AD91&lt;=QUARTILE(Data!AD$4:AD$153,1),1,IF(Data!AD91&lt;=MEDIAN(Data!AD$4:AD$153),2,IF(Data!AD91&lt;=QUARTILE(Data!AD$4:AD$153,3),3,4)))</f>
        <v>1</v>
      </c>
      <c r="AE91" s="8">
        <f>IF(Data!AE91&lt;=QUARTILE(Data!AE$4:AE$153,1),1,IF(Data!AE91&lt;=MEDIAN(Data!AE$4:AE$153),2,IF(Data!AE91&lt;=QUARTILE(Data!AE$4:AE$153,3),3,4)))</f>
        <v>1</v>
      </c>
      <c r="AF91" s="8">
        <f>IF(Data!AF91&lt;=QUARTILE(Data!AF$4:AF$153,1),1,IF(Data!AF91&lt;=MEDIAN(Data!AF$4:AF$153),2,IF(Data!AF91&lt;=QUARTILE(Data!AF$4:AF$153,3),3,4)))</f>
        <v>3</v>
      </c>
      <c r="AG91" s="8">
        <f>IF(Data!AG91&lt;=QUARTILE(Data!AG$4:AG$153,1),1,IF(Data!AG91&lt;=MEDIAN(Data!AG$4:AG$153),2,IF(Data!AG91&lt;=QUARTILE(Data!AG$4:AG$153,3),3,4)))</f>
        <v>2</v>
      </c>
      <c r="AH91" s="9">
        <f>IF(Data!AH91&lt;=QUARTILE(Data!AH$4:AH$153,1),1,IF(Data!AH91&lt;=MEDIAN(Data!AH$4:AH$153),2,IF(Data!AH91&lt;=QUARTILE(Data!AH$4:AH$153,3),3,4)))</f>
        <v>2</v>
      </c>
    </row>
    <row r="92" spans="1:34" x14ac:dyDescent="0.25">
      <c r="A92" s="7" t="s">
        <v>67</v>
      </c>
      <c r="B92" s="14" t="s">
        <v>64</v>
      </c>
      <c r="C92" s="7">
        <v>51</v>
      </c>
      <c r="D92" s="8">
        <v>31</v>
      </c>
      <c r="E92" s="42" t="s">
        <v>58</v>
      </c>
      <c r="F92" s="9">
        <v>3.06</v>
      </c>
      <c r="G92" s="7">
        <f>IF(Data!G92&lt;=QUARTILE(Data!G$4:G$153,1),1,IF(Data!G92&lt;=MEDIAN(Data!G$4:G$153),2,IF(Data!G92&lt;=QUARTILE(Data!G$4:G$153,3),3,4)))</f>
        <v>4</v>
      </c>
      <c r="H92" s="8">
        <f>IF(Data!H92&lt;=QUARTILE(Data!H$4:H$153,1),1,IF(Data!H92&lt;=MEDIAN(Data!H$4:H$153),2,IF(Data!H92&lt;=QUARTILE(Data!H$4:H$153,3),3,4)))</f>
        <v>2</v>
      </c>
      <c r="I92" s="8">
        <f>IF(Data!I92&lt;=QUARTILE(Data!I$4:I$153,1),1,IF(Data!I92&lt;=MEDIAN(Data!I$4:I$153),2,IF(Data!I92&lt;=QUARTILE(Data!I$4:I$153,3),3,4)))</f>
        <v>1</v>
      </c>
      <c r="J92" s="8">
        <f>IF(Data!J92&lt;=QUARTILE(Data!J$4:J$153,1),1,IF(Data!J92&lt;=MEDIAN(Data!J$4:J$153),2,IF(Data!J92&lt;=QUARTILE(Data!J$4:J$153,3),3,4)))</f>
        <v>1</v>
      </c>
      <c r="K92" s="8">
        <f>IF(Data!K92&lt;=QUARTILE(Data!K$4:K$153,1),1,IF(Data!K92&lt;=MEDIAN(Data!K$4:K$153),2,IF(Data!K92&lt;=QUARTILE(Data!K$4:K$153,3),3,4)))</f>
        <v>4</v>
      </c>
      <c r="L92" s="8">
        <f>IF(Data!L92&lt;=QUARTILE(Data!L$4:L$153,1),1,IF(Data!L92&lt;=MEDIAN(Data!L$4:L$153),2,IF(Data!L92&lt;=QUARTILE(Data!L$4:L$153,3),3,4)))</f>
        <v>4</v>
      </c>
      <c r="M92" s="8">
        <f>IF(Data!M92&lt;=QUARTILE(Data!M$4:M$153,1),1,IF(Data!M92&lt;=MEDIAN(Data!M$4:M$153),2,IF(Data!M92&lt;=QUARTILE(Data!M$4:M$153,3),3,4)))</f>
        <v>4</v>
      </c>
      <c r="N92" s="8">
        <f>IF(Data!N92&lt;=QUARTILE(Data!N$4:N$153,1),1,IF(Data!N92&lt;=MEDIAN(Data!N$4:N$153),2,IF(Data!N92&lt;=QUARTILE(Data!N$4:N$153,3),3,4)))</f>
        <v>2</v>
      </c>
      <c r="O92" s="8">
        <f>IF(Data!O92&lt;=QUARTILE(Data!O$4:O$153,1),1,IF(Data!O92&lt;=MEDIAN(Data!O$4:O$153),2,IF(Data!O92&lt;=QUARTILE(Data!O$4:O$153,3),3,4)))</f>
        <v>4</v>
      </c>
      <c r="P92" s="8">
        <f>IF(Data!P92&lt;=QUARTILE(Data!P$4:P$153,1),1,IF(Data!P92&lt;=MEDIAN(Data!P$4:P$153),2,IF(Data!P92&lt;=QUARTILE(Data!P$4:P$153,3),3,4)))</f>
        <v>2</v>
      </c>
      <c r="Q92" s="8">
        <f>IF(Data!Q92&lt;=QUARTILE(Data!Q$4:Q$153,1),1,IF(Data!Q92&lt;=MEDIAN(Data!Q$4:Q$153),2,IF(Data!Q92&lt;=QUARTILE(Data!Q$4:Q$153,3),3,4)))</f>
        <v>1</v>
      </c>
      <c r="R92" s="8">
        <f>IF(Data!R92&lt;=QUARTILE(Data!R$4:R$153,1),1,IF(Data!R92&lt;=MEDIAN(Data!R$4:R$153),2,IF(Data!R92&lt;=QUARTILE(Data!R$4:R$153,3),3,4)))</f>
        <v>4</v>
      </c>
      <c r="S92" s="8">
        <f>IF(Data!S92&lt;=QUARTILE(Data!S$4:S$153,1),1,IF(Data!S92&lt;=MEDIAN(Data!S$4:S$153),2,IF(Data!S92&lt;=QUARTILE(Data!S$4:S$153,3),3,4)))</f>
        <v>4</v>
      </c>
      <c r="T92" s="9">
        <f>IF(Data!T92&lt;=QUARTILE(Data!T$4:T$153,1),1,IF(Data!T92&lt;=MEDIAN(Data!T$4:T$153),2,IF(Data!T92&lt;=QUARTILE(Data!T$4:T$153,3),3,4)))</f>
        <v>4</v>
      </c>
      <c r="U92" s="7">
        <f>IF(Data!U92&lt;=QUARTILE(Data!U$4:U$153,1),1,IF(Data!U92&lt;=MEDIAN(Data!U$4:U$153),2,IF(Data!U92&lt;=QUARTILE(Data!U$4:U$153,3),3,4)))</f>
        <v>1</v>
      </c>
      <c r="V92" s="8">
        <f>IF(Data!V92&lt;=QUARTILE(Data!V$4:V$153,1),1,IF(Data!V92&lt;=MEDIAN(Data!V$4:V$153),2,IF(Data!V92&lt;=QUARTILE(Data!V$4:V$153,3),3,4)))</f>
        <v>1</v>
      </c>
      <c r="W92" s="8">
        <f>IF(Data!W92&lt;=QUARTILE(Data!W$4:W$153,1),1,IF(Data!W92&lt;=MEDIAN(Data!W$4:W$153),2,IF(Data!W92&lt;=QUARTILE(Data!W$4:W$153,3),3,4)))</f>
        <v>3</v>
      </c>
      <c r="X92" s="8">
        <f>IF(Data!X92&lt;=QUARTILE(Data!X$4:X$153,1),1,IF(Data!X92&lt;=MEDIAN(Data!X$4:X$153),2,IF(Data!X92&lt;=QUARTILE(Data!X$4:X$153,3),3,4)))</f>
        <v>3</v>
      </c>
      <c r="Y92" s="8">
        <f>IF(Data!Y92&lt;=QUARTILE(Data!Y$4:Y$153,1),1,IF(Data!Y92&lt;=MEDIAN(Data!Y$4:Y$153),2,IF(Data!Y92&lt;=QUARTILE(Data!Y$4:Y$153,3),3,4)))</f>
        <v>4</v>
      </c>
      <c r="Z92" s="8">
        <f>IF(Data!Z92&lt;=QUARTILE(Data!Z$4:Z$153,1),1,IF(Data!Z92&lt;=MEDIAN(Data!Z$4:Z$153),2,IF(Data!Z92&lt;=QUARTILE(Data!Z$4:Z$153,3),3,4)))</f>
        <v>4</v>
      </c>
      <c r="AA92" s="8">
        <f>IF(Data!AA92&lt;=QUARTILE(Data!AA$4:AA$153,1),1,IF(Data!AA92&lt;=MEDIAN(Data!AA$4:AA$153),2,IF(Data!AA92&lt;=QUARTILE(Data!AA$4:AA$153,3),3,4)))</f>
        <v>1</v>
      </c>
      <c r="AB92" s="8">
        <f>IF(Data!AB92&lt;=QUARTILE(Data!AB$4:AB$153,1),1,IF(Data!AB92&lt;=MEDIAN(Data!AB$4:AB$153),2,IF(Data!AB92&lt;=QUARTILE(Data!AB$4:AB$153,3),3,4)))</f>
        <v>1</v>
      </c>
      <c r="AC92" s="8">
        <f>IF(Data!AC92&lt;=QUARTILE(Data!AC$4:AC$153,1),1,IF(Data!AC92&lt;=MEDIAN(Data!AC$4:AC$153),2,IF(Data!AC92&lt;=QUARTILE(Data!AC$4:AC$153,3),3,4)))</f>
        <v>1</v>
      </c>
      <c r="AD92" s="8">
        <f>IF(Data!AD92&lt;=QUARTILE(Data!AD$4:AD$153,1),1,IF(Data!AD92&lt;=MEDIAN(Data!AD$4:AD$153),2,IF(Data!AD92&lt;=QUARTILE(Data!AD$4:AD$153,3),3,4)))</f>
        <v>3</v>
      </c>
      <c r="AE92" s="8">
        <f>IF(Data!AE92&lt;=QUARTILE(Data!AE$4:AE$153,1),1,IF(Data!AE92&lt;=MEDIAN(Data!AE$4:AE$153),2,IF(Data!AE92&lt;=QUARTILE(Data!AE$4:AE$153,3),3,4)))</f>
        <v>4</v>
      </c>
      <c r="AF92" s="8">
        <f>IF(Data!AF92&lt;=QUARTILE(Data!AF$4:AF$153,1),1,IF(Data!AF92&lt;=MEDIAN(Data!AF$4:AF$153),2,IF(Data!AF92&lt;=QUARTILE(Data!AF$4:AF$153,3),3,4)))</f>
        <v>3</v>
      </c>
      <c r="AG92" s="8">
        <f>IF(Data!AG92&lt;=QUARTILE(Data!AG$4:AG$153,1),1,IF(Data!AG92&lt;=MEDIAN(Data!AG$4:AG$153),2,IF(Data!AG92&lt;=QUARTILE(Data!AG$4:AG$153,3),3,4)))</f>
        <v>4</v>
      </c>
      <c r="AH92" s="9">
        <f>IF(Data!AH92&lt;=QUARTILE(Data!AH$4:AH$153,1),1,IF(Data!AH92&lt;=MEDIAN(Data!AH$4:AH$153),2,IF(Data!AH92&lt;=QUARTILE(Data!AH$4:AH$153,3),3,4)))</f>
        <v>2</v>
      </c>
    </row>
    <row r="93" spans="1:34" ht="15.75" thickBot="1" x14ac:dyDescent="0.3">
      <c r="A93" s="10" t="s">
        <v>26</v>
      </c>
      <c r="B93" s="15" t="s">
        <v>64</v>
      </c>
      <c r="C93" s="10">
        <v>41</v>
      </c>
      <c r="D93" s="11">
        <v>41</v>
      </c>
      <c r="E93" s="43" t="s">
        <v>58</v>
      </c>
      <c r="F93" s="12">
        <v>-0.8</v>
      </c>
      <c r="G93" s="10">
        <f>IF(Data!G93&lt;=QUARTILE(Data!G$4:G$153,1),1,IF(Data!G93&lt;=MEDIAN(Data!G$4:G$153),2,IF(Data!G93&lt;=QUARTILE(Data!G$4:G$153,3),3,4)))</f>
        <v>4</v>
      </c>
      <c r="H93" s="11">
        <f>IF(Data!H93&lt;=QUARTILE(Data!H$4:H$153,1),1,IF(Data!H93&lt;=MEDIAN(Data!H$4:H$153),2,IF(Data!H93&lt;=QUARTILE(Data!H$4:H$153,3),3,4)))</f>
        <v>4</v>
      </c>
      <c r="I93" s="11">
        <f>IF(Data!I93&lt;=QUARTILE(Data!I$4:I$153,1),1,IF(Data!I93&lt;=MEDIAN(Data!I$4:I$153),2,IF(Data!I93&lt;=QUARTILE(Data!I$4:I$153,3),3,4)))</f>
        <v>3</v>
      </c>
      <c r="J93" s="11">
        <f>IF(Data!J93&lt;=QUARTILE(Data!J$4:J$153,1),1,IF(Data!J93&lt;=MEDIAN(Data!J$4:J$153),2,IF(Data!J93&lt;=QUARTILE(Data!J$4:J$153,3),3,4)))</f>
        <v>4</v>
      </c>
      <c r="K93" s="11">
        <f>IF(Data!K93&lt;=QUARTILE(Data!K$4:K$153,1),1,IF(Data!K93&lt;=MEDIAN(Data!K$4:K$153),2,IF(Data!K93&lt;=QUARTILE(Data!K$4:K$153,3),3,4)))</f>
        <v>4</v>
      </c>
      <c r="L93" s="11">
        <f>IF(Data!L93&lt;=QUARTILE(Data!L$4:L$153,1),1,IF(Data!L93&lt;=MEDIAN(Data!L$4:L$153),2,IF(Data!L93&lt;=QUARTILE(Data!L$4:L$153,3),3,4)))</f>
        <v>4</v>
      </c>
      <c r="M93" s="11">
        <f>IF(Data!M93&lt;=QUARTILE(Data!M$4:M$153,1),1,IF(Data!M93&lt;=MEDIAN(Data!M$4:M$153),2,IF(Data!M93&lt;=QUARTILE(Data!M$4:M$153,3),3,4)))</f>
        <v>4</v>
      </c>
      <c r="N93" s="11">
        <f>IF(Data!N93&lt;=QUARTILE(Data!N$4:N$153,1),1,IF(Data!N93&lt;=MEDIAN(Data!N$4:N$153),2,IF(Data!N93&lt;=QUARTILE(Data!N$4:N$153,3),3,4)))</f>
        <v>1</v>
      </c>
      <c r="O93" s="11">
        <f>IF(Data!O93&lt;=QUARTILE(Data!O$4:O$153,1),1,IF(Data!O93&lt;=MEDIAN(Data!O$4:O$153),2,IF(Data!O93&lt;=QUARTILE(Data!O$4:O$153,3),3,4)))</f>
        <v>2</v>
      </c>
      <c r="P93" s="11">
        <f>IF(Data!P93&lt;=QUARTILE(Data!P$4:P$153,1),1,IF(Data!P93&lt;=MEDIAN(Data!P$4:P$153),2,IF(Data!P93&lt;=QUARTILE(Data!P$4:P$153,3),3,4)))</f>
        <v>4</v>
      </c>
      <c r="Q93" s="11">
        <f>IF(Data!Q93&lt;=QUARTILE(Data!Q$4:Q$153,1),1,IF(Data!Q93&lt;=MEDIAN(Data!Q$4:Q$153),2,IF(Data!Q93&lt;=QUARTILE(Data!Q$4:Q$153,3),3,4)))</f>
        <v>2</v>
      </c>
      <c r="R93" s="11">
        <f>IF(Data!R93&lt;=QUARTILE(Data!R$4:R$153,1),1,IF(Data!R93&lt;=MEDIAN(Data!R$4:R$153),2,IF(Data!R93&lt;=QUARTILE(Data!R$4:R$153,3),3,4)))</f>
        <v>2</v>
      </c>
      <c r="S93" s="11">
        <f>IF(Data!S93&lt;=QUARTILE(Data!S$4:S$153,1),1,IF(Data!S93&lt;=MEDIAN(Data!S$4:S$153),2,IF(Data!S93&lt;=QUARTILE(Data!S$4:S$153,3),3,4)))</f>
        <v>3</v>
      </c>
      <c r="T93" s="12">
        <f>IF(Data!T93&lt;=QUARTILE(Data!T$4:T$153,1),1,IF(Data!T93&lt;=MEDIAN(Data!T$4:T$153),2,IF(Data!T93&lt;=QUARTILE(Data!T$4:T$153,3),3,4)))</f>
        <v>4</v>
      </c>
      <c r="U93" s="10">
        <f>IF(Data!U93&lt;=QUARTILE(Data!U$4:U$153,1),1,IF(Data!U93&lt;=MEDIAN(Data!U$4:U$153),2,IF(Data!U93&lt;=QUARTILE(Data!U$4:U$153,3),3,4)))</f>
        <v>4</v>
      </c>
      <c r="V93" s="11">
        <f>IF(Data!V93&lt;=QUARTILE(Data!V$4:V$153,1),1,IF(Data!V93&lt;=MEDIAN(Data!V$4:V$153),2,IF(Data!V93&lt;=QUARTILE(Data!V$4:V$153,3),3,4)))</f>
        <v>3</v>
      </c>
      <c r="W93" s="11">
        <f>IF(Data!W93&lt;=QUARTILE(Data!W$4:W$153,1),1,IF(Data!W93&lt;=MEDIAN(Data!W$4:W$153),2,IF(Data!W93&lt;=QUARTILE(Data!W$4:W$153,3),3,4)))</f>
        <v>4</v>
      </c>
      <c r="X93" s="11">
        <f>IF(Data!X93&lt;=QUARTILE(Data!X$4:X$153,1),1,IF(Data!X93&lt;=MEDIAN(Data!X$4:X$153),2,IF(Data!X93&lt;=QUARTILE(Data!X$4:X$153,3),3,4)))</f>
        <v>4</v>
      </c>
      <c r="Y93" s="11">
        <f>IF(Data!Y93&lt;=QUARTILE(Data!Y$4:Y$153,1),1,IF(Data!Y93&lt;=MEDIAN(Data!Y$4:Y$153),2,IF(Data!Y93&lt;=QUARTILE(Data!Y$4:Y$153,3),3,4)))</f>
        <v>3</v>
      </c>
      <c r="Z93" s="11">
        <f>IF(Data!Z93&lt;=QUARTILE(Data!Z$4:Z$153,1),1,IF(Data!Z93&lt;=MEDIAN(Data!Z$4:Z$153),2,IF(Data!Z93&lt;=QUARTILE(Data!Z$4:Z$153,3),3,4)))</f>
        <v>3</v>
      </c>
      <c r="AA93" s="11">
        <f>IF(Data!AA93&lt;=QUARTILE(Data!AA$4:AA$153,1),1,IF(Data!AA93&lt;=MEDIAN(Data!AA$4:AA$153),2,IF(Data!AA93&lt;=QUARTILE(Data!AA$4:AA$153,3),3,4)))</f>
        <v>4</v>
      </c>
      <c r="AB93" s="11">
        <f>IF(Data!AB93&lt;=QUARTILE(Data!AB$4:AB$153,1),1,IF(Data!AB93&lt;=MEDIAN(Data!AB$4:AB$153),2,IF(Data!AB93&lt;=QUARTILE(Data!AB$4:AB$153,3),3,4)))</f>
        <v>4</v>
      </c>
      <c r="AC93" s="11">
        <f>IF(Data!AC93&lt;=QUARTILE(Data!AC$4:AC$153,1),1,IF(Data!AC93&lt;=MEDIAN(Data!AC$4:AC$153),2,IF(Data!AC93&lt;=QUARTILE(Data!AC$4:AC$153,3),3,4)))</f>
        <v>4</v>
      </c>
      <c r="AD93" s="11">
        <f>IF(Data!AD93&lt;=QUARTILE(Data!AD$4:AD$153,1),1,IF(Data!AD93&lt;=MEDIAN(Data!AD$4:AD$153),2,IF(Data!AD93&lt;=QUARTILE(Data!AD$4:AD$153,3),3,4)))</f>
        <v>1</v>
      </c>
      <c r="AE93" s="11">
        <f>IF(Data!AE93&lt;=QUARTILE(Data!AE$4:AE$153,1),1,IF(Data!AE93&lt;=MEDIAN(Data!AE$4:AE$153),2,IF(Data!AE93&lt;=QUARTILE(Data!AE$4:AE$153,3),3,4)))</f>
        <v>2</v>
      </c>
      <c r="AF93" s="11">
        <f>IF(Data!AF93&lt;=QUARTILE(Data!AF$4:AF$153,1),1,IF(Data!AF93&lt;=MEDIAN(Data!AF$4:AF$153),2,IF(Data!AF93&lt;=QUARTILE(Data!AF$4:AF$153,3),3,4)))</f>
        <v>4</v>
      </c>
      <c r="AG93" s="11">
        <f>IF(Data!AG93&lt;=QUARTILE(Data!AG$4:AG$153,1),1,IF(Data!AG93&lt;=MEDIAN(Data!AG$4:AG$153),2,IF(Data!AG93&lt;=QUARTILE(Data!AG$4:AG$153,3),3,4)))</f>
        <v>4</v>
      </c>
      <c r="AH93" s="12">
        <f>IF(Data!AH93&lt;=QUARTILE(Data!AH$4:AH$153,1),1,IF(Data!AH93&lt;=MEDIAN(Data!AH$4:AH$153),2,IF(Data!AH93&lt;=QUARTILE(Data!AH$4:AH$153,3),3,4)))</f>
        <v>4</v>
      </c>
    </row>
    <row r="94" spans="1:34" x14ac:dyDescent="0.25">
      <c r="A94" s="4" t="s">
        <v>60</v>
      </c>
      <c r="B94" s="13" t="s">
        <v>68</v>
      </c>
      <c r="C94" s="4">
        <v>26</v>
      </c>
      <c r="D94" s="5">
        <v>56</v>
      </c>
      <c r="E94" s="41" t="s">
        <v>59</v>
      </c>
      <c r="F94" s="6">
        <v>-4.6900000000000004</v>
      </c>
      <c r="G94" s="4">
        <f>IF(Data!G94&lt;=QUARTILE(Data!G$4:G$153,1),1,IF(Data!G94&lt;=MEDIAN(Data!G$4:G$153),2,IF(Data!G94&lt;=QUARTILE(Data!G$4:G$153,3),3,4)))</f>
        <v>2</v>
      </c>
      <c r="H94" s="5">
        <f>IF(Data!H94&lt;=QUARTILE(Data!H$4:H$153,1),1,IF(Data!H94&lt;=MEDIAN(Data!H$4:H$153),2,IF(Data!H94&lt;=QUARTILE(Data!H$4:H$153,3),3,4)))</f>
        <v>2</v>
      </c>
      <c r="I94" s="5">
        <f>IF(Data!I94&lt;=QUARTILE(Data!I$4:I$153,1),1,IF(Data!I94&lt;=MEDIAN(Data!I$4:I$153),2,IF(Data!I94&lt;=QUARTILE(Data!I$4:I$153,3),3,4)))</f>
        <v>2</v>
      </c>
      <c r="J94" s="5">
        <f>IF(Data!J94&lt;=QUARTILE(Data!J$4:J$153,1),1,IF(Data!J94&lt;=MEDIAN(Data!J$4:J$153),2,IF(Data!J94&lt;=QUARTILE(Data!J$4:J$153,3),3,4)))</f>
        <v>1</v>
      </c>
      <c r="K94" s="5">
        <f>IF(Data!K94&lt;=QUARTILE(Data!K$4:K$153,1),1,IF(Data!K94&lt;=MEDIAN(Data!K$4:K$153),2,IF(Data!K94&lt;=QUARTILE(Data!K$4:K$153,3),3,4)))</f>
        <v>3</v>
      </c>
      <c r="L94" s="5">
        <f>IF(Data!L94&lt;=QUARTILE(Data!L$4:L$153,1),1,IF(Data!L94&lt;=MEDIAN(Data!L$4:L$153),2,IF(Data!L94&lt;=QUARTILE(Data!L$4:L$153,3),3,4)))</f>
        <v>3</v>
      </c>
      <c r="M94" s="5">
        <f>IF(Data!M94&lt;=QUARTILE(Data!M$4:M$153,1),1,IF(Data!M94&lt;=MEDIAN(Data!M$4:M$153),2,IF(Data!M94&lt;=QUARTILE(Data!M$4:M$153,3),3,4)))</f>
        <v>4</v>
      </c>
      <c r="N94" s="5">
        <f>IF(Data!N94&lt;=QUARTILE(Data!N$4:N$153,1),1,IF(Data!N94&lt;=MEDIAN(Data!N$4:N$153),2,IF(Data!N94&lt;=QUARTILE(Data!N$4:N$153,3),3,4)))</f>
        <v>1</v>
      </c>
      <c r="O94" s="5">
        <f>IF(Data!O94&lt;=QUARTILE(Data!O$4:O$153,1),1,IF(Data!O94&lt;=MEDIAN(Data!O$4:O$153),2,IF(Data!O94&lt;=QUARTILE(Data!O$4:O$153,3),3,4)))</f>
        <v>1</v>
      </c>
      <c r="P94" s="5">
        <f>IF(Data!P94&lt;=QUARTILE(Data!P$4:P$153,1),1,IF(Data!P94&lt;=MEDIAN(Data!P$4:P$153),2,IF(Data!P94&lt;=QUARTILE(Data!P$4:P$153,3),3,4)))</f>
        <v>2</v>
      </c>
      <c r="Q94" s="5">
        <f>IF(Data!Q94&lt;=QUARTILE(Data!Q$4:Q$153,1),1,IF(Data!Q94&lt;=MEDIAN(Data!Q$4:Q$153),2,IF(Data!Q94&lt;=QUARTILE(Data!Q$4:Q$153,3),3,4)))</f>
        <v>3</v>
      </c>
      <c r="R94" s="5">
        <f>IF(Data!R94&lt;=QUARTILE(Data!R$4:R$153,1),1,IF(Data!R94&lt;=MEDIAN(Data!R$4:R$153),2,IF(Data!R94&lt;=QUARTILE(Data!R$4:R$153,3),3,4)))</f>
        <v>4</v>
      </c>
      <c r="S94" s="5">
        <f>IF(Data!S94&lt;=QUARTILE(Data!S$4:S$153,1),1,IF(Data!S94&lt;=MEDIAN(Data!S$4:S$153),2,IF(Data!S94&lt;=QUARTILE(Data!S$4:S$153,3),3,4)))</f>
        <v>4</v>
      </c>
      <c r="T94" s="6">
        <f>IF(Data!T94&lt;=QUARTILE(Data!T$4:T$153,1),1,IF(Data!T94&lt;=MEDIAN(Data!T$4:T$153),2,IF(Data!T94&lt;=QUARTILE(Data!T$4:T$153,3),3,4)))</f>
        <v>2</v>
      </c>
      <c r="U94" s="4">
        <f>IF(Data!U94&lt;=QUARTILE(Data!U$4:U$153,1),1,IF(Data!U94&lt;=MEDIAN(Data!U$4:U$153),2,IF(Data!U94&lt;=QUARTILE(Data!U$4:U$153,3),3,4)))</f>
        <v>3</v>
      </c>
      <c r="V94" s="5">
        <f>IF(Data!V94&lt;=QUARTILE(Data!V$4:V$153,1),1,IF(Data!V94&lt;=MEDIAN(Data!V$4:V$153),2,IF(Data!V94&lt;=QUARTILE(Data!V$4:V$153,3),3,4)))</f>
        <v>2</v>
      </c>
      <c r="W94" s="5">
        <f>IF(Data!W94&lt;=QUARTILE(Data!W$4:W$153,1),1,IF(Data!W94&lt;=MEDIAN(Data!W$4:W$153),2,IF(Data!W94&lt;=QUARTILE(Data!W$4:W$153,3),3,4)))</f>
        <v>1</v>
      </c>
      <c r="X94" s="5">
        <f>IF(Data!X94&lt;=QUARTILE(Data!X$4:X$153,1),1,IF(Data!X94&lt;=MEDIAN(Data!X$4:X$153),2,IF(Data!X94&lt;=QUARTILE(Data!X$4:X$153,3),3,4)))</f>
        <v>1</v>
      </c>
      <c r="Y94" s="5">
        <f>IF(Data!Y94&lt;=QUARTILE(Data!Y$4:Y$153,1),1,IF(Data!Y94&lt;=MEDIAN(Data!Y$4:Y$153),2,IF(Data!Y94&lt;=QUARTILE(Data!Y$4:Y$153,3),3,4)))</f>
        <v>4</v>
      </c>
      <c r="Z94" s="5">
        <f>IF(Data!Z94&lt;=QUARTILE(Data!Z$4:Z$153,1),1,IF(Data!Z94&lt;=MEDIAN(Data!Z$4:Z$153),2,IF(Data!Z94&lt;=QUARTILE(Data!Z$4:Z$153,3),3,4)))</f>
        <v>4</v>
      </c>
      <c r="AA94" s="5">
        <f>IF(Data!AA94&lt;=QUARTILE(Data!AA$4:AA$153,1),1,IF(Data!AA94&lt;=MEDIAN(Data!AA$4:AA$153),2,IF(Data!AA94&lt;=QUARTILE(Data!AA$4:AA$153,3),3,4)))</f>
        <v>4</v>
      </c>
      <c r="AB94" s="5">
        <f>IF(Data!AB94&lt;=QUARTILE(Data!AB$4:AB$153,1),1,IF(Data!AB94&lt;=MEDIAN(Data!AB$4:AB$153),2,IF(Data!AB94&lt;=QUARTILE(Data!AB$4:AB$153,3),3,4)))</f>
        <v>1</v>
      </c>
      <c r="AC94" s="5">
        <f>IF(Data!AC94&lt;=QUARTILE(Data!AC$4:AC$153,1),1,IF(Data!AC94&lt;=MEDIAN(Data!AC$4:AC$153),2,IF(Data!AC94&lt;=QUARTILE(Data!AC$4:AC$153,3),3,4)))</f>
        <v>2</v>
      </c>
      <c r="AD94" s="5">
        <f>IF(Data!AD94&lt;=QUARTILE(Data!AD$4:AD$153,1),1,IF(Data!AD94&lt;=MEDIAN(Data!AD$4:AD$153),2,IF(Data!AD94&lt;=QUARTILE(Data!AD$4:AD$153,3),3,4)))</f>
        <v>2</v>
      </c>
      <c r="AE94" s="5">
        <f>IF(Data!AE94&lt;=QUARTILE(Data!AE$4:AE$153,1),1,IF(Data!AE94&lt;=MEDIAN(Data!AE$4:AE$153),2,IF(Data!AE94&lt;=QUARTILE(Data!AE$4:AE$153,3),3,4)))</f>
        <v>4</v>
      </c>
      <c r="AF94" s="5">
        <f>IF(Data!AF94&lt;=QUARTILE(Data!AF$4:AF$153,1),1,IF(Data!AF94&lt;=MEDIAN(Data!AF$4:AF$153),2,IF(Data!AF94&lt;=QUARTILE(Data!AF$4:AF$153,3),3,4)))</f>
        <v>3</v>
      </c>
      <c r="AG94" s="5">
        <f>IF(Data!AG94&lt;=QUARTILE(Data!AG$4:AG$153,1),1,IF(Data!AG94&lt;=MEDIAN(Data!AG$4:AG$153),2,IF(Data!AG94&lt;=QUARTILE(Data!AG$4:AG$153,3),3,4)))</f>
        <v>3</v>
      </c>
      <c r="AH94" s="6">
        <f>IF(Data!AH94&lt;=QUARTILE(Data!AH$4:AH$153,1),1,IF(Data!AH94&lt;=MEDIAN(Data!AH$4:AH$153),2,IF(Data!AH94&lt;=QUARTILE(Data!AH$4:AH$153,3),3,4)))</f>
        <v>4</v>
      </c>
    </row>
    <row r="95" spans="1:34" x14ac:dyDescent="0.25">
      <c r="A95" s="7" t="s">
        <v>61</v>
      </c>
      <c r="B95" s="14" t="s">
        <v>68</v>
      </c>
      <c r="C95" s="7">
        <v>33</v>
      </c>
      <c r="D95" s="8">
        <v>49</v>
      </c>
      <c r="E95" s="42" t="s">
        <v>59</v>
      </c>
      <c r="F95" s="9">
        <v>-1.59</v>
      </c>
      <c r="G95" s="7">
        <f>IF(Data!G95&lt;=QUARTILE(Data!G$4:G$153,1),1,IF(Data!G95&lt;=MEDIAN(Data!G$4:G$153),2,IF(Data!G95&lt;=QUARTILE(Data!G$4:G$153,3),3,4)))</f>
        <v>2</v>
      </c>
      <c r="H95" s="8">
        <f>IF(Data!H95&lt;=QUARTILE(Data!H$4:H$153,1),1,IF(Data!H95&lt;=MEDIAN(Data!H$4:H$153),2,IF(Data!H95&lt;=QUARTILE(Data!H$4:H$153,3),3,4)))</f>
        <v>1</v>
      </c>
      <c r="I95" s="8">
        <f>IF(Data!I95&lt;=QUARTILE(Data!I$4:I$153,1),1,IF(Data!I95&lt;=MEDIAN(Data!I$4:I$153),2,IF(Data!I95&lt;=QUARTILE(Data!I$4:I$153,3),3,4)))</f>
        <v>2</v>
      </c>
      <c r="J95" s="8">
        <f>IF(Data!J95&lt;=QUARTILE(Data!J$4:J$153,1),1,IF(Data!J95&lt;=MEDIAN(Data!J$4:J$153),2,IF(Data!J95&lt;=QUARTILE(Data!J$4:J$153,3),3,4)))</f>
        <v>2</v>
      </c>
      <c r="K95" s="8">
        <f>IF(Data!K95&lt;=QUARTILE(Data!K$4:K$153,1),1,IF(Data!K95&lt;=MEDIAN(Data!K$4:K$153),2,IF(Data!K95&lt;=QUARTILE(Data!K$4:K$153,3),3,4)))</f>
        <v>3</v>
      </c>
      <c r="L95" s="8">
        <f>IF(Data!L95&lt;=QUARTILE(Data!L$4:L$153,1),1,IF(Data!L95&lt;=MEDIAN(Data!L$4:L$153),2,IF(Data!L95&lt;=QUARTILE(Data!L$4:L$153,3),3,4)))</f>
        <v>3</v>
      </c>
      <c r="M95" s="8">
        <f>IF(Data!M95&lt;=QUARTILE(Data!M$4:M$153,1),1,IF(Data!M95&lt;=MEDIAN(Data!M$4:M$153),2,IF(Data!M95&lt;=QUARTILE(Data!M$4:M$153,3),3,4)))</f>
        <v>1</v>
      </c>
      <c r="N95" s="8">
        <f>IF(Data!N95&lt;=QUARTILE(Data!N$4:N$153,1),1,IF(Data!N95&lt;=MEDIAN(Data!N$4:N$153),2,IF(Data!N95&lt;=QUARTILE(Data!N$4:N$153,3),3,4)))</f>
        <v>2</v>
      </c>
      <c r="O95" s="8">
        <f>IF(Data!O95&lt;=QUARTILE(Data!O$4:O$153,1),1,IF(Data!O95&lt;=MEDIAN(Data!O$4:O$153),2,IF(Data!O95&lt;=QUARTILE(Data!O$4:O$153,3),3,4)))</f>
        <v>2</v>
      </c>
      <c r="P95" s="8">
        <f>IF(Data!P95&lt;=QUARTILE(Data!P$4:P$153,1),1,IF(Data!P95&lt;=MEDIAN(Data!P$4:P$153),2,IF(Data!P95&lt;=QUARTILE(Data!P$4:P$153,3),3,4)))</f>
        <v>2</v>
      </c>
      <c r="Q95" s="8">
        <f>IF(Data!Q95&lt;=QUARTILE(Data!Q$4:Q$153,1),1,IF(Data!Q95&lt;=MEDIAN(Data!Q$4:Q$153),2,IF(Data!Q95&lt;=QUARTILE(Data!Q$4:Q$153,3),3,4)))</f>
        <v>3</v>
      </c>
      <c r="R95" s="8">
        <f>IF(Data!R95&lt;=QUARTILE(Data!R$4:R$153,1),1,IF(Data!R95&lt;=MEDIAN(Data!R$4:R$153),2,IF(Data!R95&lt;=QUARTILE(Data!R$4:R$153,3),3,4)))</f>
        <v>4</v>
      </c>
      <c r="S95" s="8">
        <f>IF(Data!S95&lt;=QUARTILE(Data!S$4:S$153,1),1,IF(Data!S95&lt;=MEDIAN(Data!S$4:S$153),2,IF(Data!S95&lt;=QUARTILE(Data!S$4:S$153,3),3,4)))</f>
        <v>4</v>
      </c>
      <c r="T95" s="9">
        <f>IF(Data!T95&lt;=QUARTILE(Data!T$4:T$153,1),1,IF(Data!T95&lt;=MEDIAN(Data!T$4:T$153),2,IF(Data!T95&lt;=QUARTILE(Data!T$4:T$153,3),3,4)))</f>
        <v>3</v>
      </c>
      <c r="U95" s="7">
        <f>IF(Data!U95&lt;=QUARTILE(Data!U$4:U$153,1),1,IF(Data!U95&lt;=MEDIAN(Data!U$4:U$153),2,IF(Data!U95&lt;=QUARTILE(Data!U$4:U$153,3),3,4)))</f>
        <v>2</v>
      </c>
      <c r="V95" s="8">
        <f>IF(Data!V95&lt;=QUARTILE(Data!V$4:V$153,1),1,IF(Data!V95&lt;=MEDIAN(Data!V$4:V$153),2,IF(Data!V95&lt;=QUARTILE(Data!V$4:V$153,3),3,4)))</f>
        <v>2</v>
      </c>
      <c r="W95" s="8">
        <f>IF(Data!W95&lt;=QUARTILE(Data!W$4:W$153,1),1,IF(Data!W95&lt;=MEDIAN(Data!W$4:W$153),2,IF(Data!W95&lt;=QUARTILE(Data!W$4:W$153,3),3,4)))</f>
        <v>1</v>
      </c>
      <c r="X95" s="8">
        <f>IF(Data!X95&lt;=QUARTILE(Data!X$4:X$153,1),1,IF(Data!X95&lt;=MEDIAN(Data!X$4:X$153),2,IF(Data!X95&lt;=QUARTILE(Data!X$4:X$153,3),3,4)))</f>
        <v>1</v>
      </c>
      <c r="Y95" s="8">
        <f>IF(Data!Y95&lt;=QUARTILE(Data!Y$4:Y$153,1),1,IF(Data!Y95&lt;=MEDIAN(Data!Y$4:Y$153),2,IF(Data!Y95&lt;=QUARTILE(Data!Y$4:Y$153,3),3,4)))</f>
        <v>4</v>
      </c>
      <c r="Z95" s="8">
        <f>IF(Data!Z95&lt;=QUARTILE(Data!Z$4:Z$153,1),1,IF(Data!Z95&lt;=MEDIAN(Data!Z$4:Z$153),2,IF(Data!Z95&lt;=QUARTILE(Data!Z$4:Z$153,3),3,4)))</f>
        <v>4</v>
      </c>
      <c r="AA95" s="8">
        <f>IF(Data!AA95&lt;=QUARTILE(Data!AA$4:AA$153,1),1,IF(Data!AA95&lt;=MEDIAN(Data!AA$4:AA$153),2,IF(Data!AA95&lt;=QUARTILE(Data!AA$4:AA$153,3),3,4)))</f>
        <v>2</v>
      </c>
      <c r="AB95" s="8">
        <f>IF(Data!AB95&lt;=QUARTILE(Data!AB$4:AB$153,1),1,IF(Data!AB95&lt;=MEDIAN(Data!AB$4:AB$153),2,IF(Data!AB95&lt;=QUARTILE(Data!AB$4:AB$153,3),3,4)))</f>
        <v>1</v>
      </c>
      <c r="AC95" s="8">
        <f>IF(Data!AC95&lt;=QUARTILE(Data!AC$4:AC$153,1),1,IF(Data!AC95&lt;=MEDIAN(Data!AC$4:AC$153),2,IF(Data!AC95&lt;=QUARTILE(Data!AC$4:AC$153,3),3,4)))</f>
        <v>3</v>
      </c>
      <c r="AD95" s="8">
        <f>IF(Data!AD95&lt;=QUARTILE(Data!AD$4:AD$153,1),1,IF(Data!AD95&lt;=MEDIAN(Data!AD$4:AD$153),2,IF(Data!AD95&lt;=QUARTILE(Data!AD$4:AD$153,3),3,4)))</f>
        <v>4</v>
      </c>
      <c r="AE95" s="8">
        <f>IF(Data!AE95&lt;=QUARTILE(Data!AE$4:AE$153,1),1,IF(Data!AE95&lt;=MEDIAN(Data!AE$4:AE$153),2,IF(Data!AE95&lt;=QUARTILE(Data!AE$4:AE$153,3),3,4)))</f>
        <v>3</v>
      </c>
      <c r="AF95" s="8">
        <f>IF(Data!AF95&lt;=QUARTILE(Data!AF$4:AF$153,1),1,IF(Data!AF95&lt;=MEDIAN(Data!AF$4:AF$153),2,IF(Data!AF95&lt;=QUARTILE(Data!AF$4:AF$153,3),3,4)))</f>
        <v>3</v>
      </c>
      <c r="AG95" s="8">
        <f>IF(Data!AG95&lt;=QUARTILE(Data!AG$4:AG$153,1),1,IF(Data!AG95&lt;=MEDIAN(Data!AG$4:AG$153),2,IF(Data!AG95&lt;=QUARTILE(Data!AG$4:AG$153,3),3,4)))</f>
        <v>3</v>
      </c>
      <c r="AH95" s="9">
        <f>IF(Data!AH95&lt;=QUARTILE(Data!AH$4:AH$153,1),1,IF(Data!AH95&lt;=MEDIAN(Data!AH$4:AH$153),2,IF(Data!AH95&lt;=QUARTILE(Data!AH$4:AH$153,3),3,4)))</f>
        <v>3</v>
      </c>
    </row>
    <row r="96" spans="1:34" x14ac:dyDescent="0.25">
      <c r="A96" s="7" t="s">
        <v>29</v>
      </c>
      <c r="B96" s="14" t="s">
        <v>68</v>
      </c>
      <c r="C96" s="7">
        <v>26</v>
      </c>
      <c r="D96" s="8">
        <v>56</v>
      </c>
      <c r="E96" s="42" t="s">
        <v>59</v>
      </c>
      <c r="F96" s="9">
        <v>-3.9</v>
      </c>
      <c r="G96" s="7">
        <f>IF(Data!G96&lt;=QUARTILE(Data!G$4:G$153,1),1,IF(Data!G96&lt;=MEDIAN(Data!G$4:G$153),2,IF(Data!G96&lt;=QUARTILE(Data!G$4:G$153,3),3,4)))</f>
        <v>2</v>
      </c>
      <c r="H96" s="8">
        <f>IF(Data!H96&lt;=QUARTILE(Data!H$4:H$153,1),1,IF(Data!H96&lt;=MEDIAN(Data!H$4:H$153),2,IF(Data!H96&lt;=QUARTILE(Data!H$4:H$153,3),3,4)))</f>
        <v>4</v>
      </c>
      <c r="I96" s="8">
        <f>IF(Data!I96&lt;=QUARTILE(Data!I$4:I$153,1),1,IF(Data!I96&lt;=MEDIAN(Data!I$4:I$153),2,IF(Data!I96&lt;=QUARTILE(Data!I$4:I$153,3),3,4)))</f>
        <v>2</v>
      </c>
      <c r="J96" s="8">
        <f>IF(Data!J96&lt;=QUARTILE(Data!J$4:J$153,1),1,IF(Data!J96&lt;=MEDIAN(Data!J$4:J$153),2,IF(Data!J96&lt;=QUARTILE(Data!J$4:J$153,3),3,4)))</f>
        <v>2</v>
      </c>
      <c r="K96" s="8">
        <f>IF(Data!K96&lt;=QUARTILE(Data!K$4:K$153,1),1,IF(Data!K96&lt;=MEDIAN(Data!K$4:K$153),2,IF(Data!K96&lt;=QUARTILE(Data!K$4:K$153,3),3,4)))</f>
        <v>3</v>
      </c>
      <c r="L96" s="8">
        <f>IF(Data!L96&lt;=QUARTILE(Data!L$4:L$153,1),1,IF(Data!L96&lt;=MEDIAN(Data!L$4:L$153),2,IF(Data!L96&lt;=QUARTILE(Data!L$4:L$153,3),3,4)))</f>
        <v>3</v>
      </c>
      <c r="M96" s="8">
        <f>IF(Data!M96&lt;=QUARTILE(Data!M$4:M$153,1),1,IF(Data!M96&lt;=MEDIAN(Data!M$4:M$153),2,IF(Data!M96&lt;=QUARTILE(Data!M$4:M$153,3),3,4)))</f>
        <v>3</v>
      </c>
      <c r="N96" s="8">
        <f>IF(Data!N96&lt;=QUARTILE(Data!N$4:N$153,1),1,IF(Data!N96&lt;=MEDIAN(Data!N$4:N$153),2,IF(Data!N96&lt;=QUARTILE(Data!N$4:N$153,3),3,4)))</f>
        <v>1</v>
      </c>
      <c r="O96" s="8">
        <f>IF(Data!O96&lt;=QUARTILE(Data!O$4:O$153,1),1,IF(Data!O96&lt;=MEDIAN(Data!O$4:O$153),2,IF(Data!O96&lt;=QUARTILE(Data!O$4:O$153,3),3,4)))</f>
        <v>2</v>
      </c>
      <c r="P96" s="8">
        <f>IF(Data!P96&lt;=QUARTILE(Data!P$4:P$153,1),1,IF(Data!P96&lt;=MEDIAN(Data!P$4:P$153),2,IF(Data!P96&lt;=QUARTILE(Data!P$4:P$153,3),3,4)))</f>
        <v>4</v>
      </c>
      <c r="Q96" s="8">
        <f>IF(Data!Q96&lt;=QUARTILE(Data!Q$4:Q$153,1),1,IF(Data!Q96&lt;=MEDIAN(Data!Q$4:Q$153),2,IF(Data!Q96&lt;=QUARTILE(Data!Q$4:Q$153,3),3,4)))</f>
        <v>2</v>
      </c>
      <c r="R96" s="8">
        <f>IF(Data!R96&lt;=QUARTILE(Data!R$4:R$153,1),1,IF(Data!R96&lt;=MEDIAN(Data!R$4:R$153),2,IF(Data!R96&lt;=QUARTILE(Data!R$4:R$153,3),3,4)))</f>
        <v>2</v>
      </c>
      <c r="S96" s="8">
        <f>IF(Data!S96&lt;=QUARTILE(Data!S$4:S$153,1),1,IF(Data!S96&lt;=MEDIAN(Data!S$4:S$153),2,IF(Data!S96&lt;=QUARTILE(Data!S$4:S$153,3),3,4)))</f>
        <v>4</v>
      </c>
      <c r="T96" s="9">
        <f>IF(Data!T96&lt;=QUARTILE(Data!T$4:T$153,1),1,IF(Data!T96&lt;=MEDIAN(Data!T$4:T$153),2,IF(Data!T96&lt;=QUARTILE(Data!T$4:T$153,3),3,4)))</f>
        <v>2</v>
      </c>
      <c r="U96" s="7">
        <f>IF(Data!U96&lt;=QUARTILE(Data!U$4:U$153,1),1,IF(Data!U96&lt;=MEDIAN(Data!U$4:U$153),2,IF(Data!U96&lt;=QUARTILE(Data!U$4:U$153,3),3,4)))</f>
        <v>3</v>
      </c>
      <c r="V96" s="8">
        <f>IF(Data!V96&lt;=QUARTILE(Data!V$4:V$153,1),1,IF(Data!V96&lt;=MEDIAN(Data!V$4:V$153),2,IF(Data!V96&lt;=QUARTILE(Data!V$4:V$153,3),3,4)))</f>
        <v>1</v>
      </c>
      <c r="W96" s="8">
        <f>IF(Data!W96&lt;=QUARTILE(Data!W$4:W$153,1),1,IF(Data!W96&lt;=MEDIAN(Data!W$4:W$153),2,IF(Data!W96&lt;=QUARTILE(Data!W$4:W$153,3),3,4)))</f>
        <v>1</v>
      </c>
      <c r="X96" s="8">
        <f>IF(Data!X96&lt;=QUARTILE(Data!X$4:X$153,1),1,IF(Data!X96&lt;=MEDIAN(Data!X$4:X$153),2,IF(Data!X96&lt;=QUARTILE(Data!X$4:X$153,3),3,4)))</f>
        <v>1</v>
      </c>
      <c r="Y96" s="8">
        <f>IF(Data!Y96&lt;=QUARTILE(Data!Y$4:Y$153,1),1,IF(Data!Y96&lt;=MEDIAN(Data!Y$4:Y$153),2,IF(Data!Y96&lt;=QUARTILE(Data!Y$4:Y$153,3),3,4)))</f>
        <v>3</v>
      </c>
      <c r="Z96" s="8">
        <f>IF(Data!Z96&lt;=QUARTILE(Data!Z$4:Z$153,1),1,IF(Data!Z96&lt;=MEDIAN(Data!Z$4:Z$153),2,IF(Data!Z96&lt;=QUARTILE(Data!Z$4:Z$153,3),3,4)))</f>
        <v>4</v>
      </c>
      <c r="AA96" s="8">
        <f>IF(Data!AA96&lt;=QUARTILE(Data!AA$4:AA$153,1),1,IF(Data!AA96&lt;=MEDIAN(Data!AA$4:AA$153),2,IF(Data!AA96&lt;=QUARTILE(Data!AA$4:AA$153,3),3,4)))</f>
        <v>3</v>
      </c>
      <c r="AB96" s="8">
        <f>IF(Data!AB96&lt;=QUARTILE(Data!AB$4:AB$153,1),1,IF(Data!AB96&lt;=MEDIAN(Data!AB$4:AB$153),2,IF(Data!AB96&lt;=QUARTILE(Data!AB$4:AB$153,3),3,4)))</f>
        <v>4</v>
      </c>
      <c r="AC96" s="8">
        <f>IF(Data!AC96&lt;=QUARTILE(Data!AC$4:AC$153,1),1,IF(Data!AC96&lt;=MEDIAN(Data!AC$4:AC$153),2,IF(Data!AC96&lt;=QUARTILE(Data!AC$4:AC$153,3),3,4)))</f>
        <v>4</v>
      </c>
      <c r="AD96" s="8">
        <f>IF(Data!AD96&lt;=QUARTILE(Data!AD$4:AD$153,1),1,IF(Data!AD96&lt;=MEDIAN(Data!AD$4:AD$153),2,IF(Data!AD96&lt;=QUARTILE(Data!AD$4:AD$153,3),3,4)))</f>
        <v>2</v>
      </c>
      <c r="AE96" s="8">
        <f>IF(Data!AE96&lt;=QUARTILE(Data!AE$4:AE$153,1),1,IF(Data!AE96&lt;=MEDIAN(Data!AE$4:AE$153),2,IF(Data!AE96&lt;=QUARTILE(Data!AE$4:AE$153,3),3,4)))</f>
        <v>4</v>
      </c>
      <c r="AF96" s="8">
        <f>IF(Data!AF96&lt;=QUARTILE(Data!AF$4:AF$153,1),1,IF(Data!AF96&lt;=MEDIAN(Data!AF$4:AF$153),2,IF(Data!AF96&lt;=QUARTILE(Data!AF$4:AF$153,3),3,4)))</f>
        <v>4</v>
      </c>
      <c r="AG96" s="8">
        <f>IF(Data!AG96&lt;=QUARTILE(Data!AG$4:AG$153,1),1,IF(Data!AG96&lt;=MEDIAN(Data!AG$4:AG$153),2,IF(Data!AG96&lt;=QUARTILE(Data!AG$4:AG$153,3),3,4)))</f>
        <v>4</v>
      </c>
      <c r="AH96" s="9">
        <f>IF(Data!AH96&lt;=QUARTILE(Data!AH$4:AH$153,1),1,IF(Data!AH96&lt;=MEDIAN(Data!AH$4:AH$153),2,IF(Data!AH96&lt;=QUARTILE(Data!AH$4:AH$153,3),3,4)))</f>
        <v>3</v>
      </c>
    </row>
    <row r="97" spans="1:34" x14ac:dyDescent="0.25">
      <c r="A97" s="7" t="s">
        <v>53</v>
      </c>
      <c r="B97" s="14" t="s">
        <v>68</v>
      </c>
      <c r="C97" s="7">
        <v>41</v>
      </c>
      <c r="D97" s="8">
        <v>41</v>
      </c>
      <c r="E97" s="42" t="s">
        <v>58</v>
      </c>
      <c r="F97" s="9">
        <v>0.51</v>
      </c>
      <c r="G97" s="7">
        <f>IF(Data!G97&lt;=QUARTILE(Data!G$4:G$153,1),1,IF(Data!G97&lt;=MEDIAN(Data!G$4:G$153),2,IF(Data!G97&lt;=QUARTILE(Data!G$4:G$153,3),3,4)))</f>
        <v>3</v>
      </c>
      <c r="H97" s="8">
        <f>IF(Data!H97&lt;=QUARTILE(Data!H$4:H$153,1),1,IF(Data!H97&lt;=MEDIAN(Data!H$4:H$153),2,IF(Data!H97&lt;=QUARTILE(Data!H$4:H$153,3),3,4)))</f>
        <v>4</v>
      </c>
      <c r="I97" s="8">
        <f>IF(Data!I97&lt;=QUARTILE(Data!I$4:I$153,1),1,IF(Data!I97&lt;=MEDIAN(Data!I$4:I$153),2,IF(Data!I97&lt;=QUARTILE(Data!I$4:I$153,3),3,4)))</f>
        <v>3</v>
      </c>
      <c r="J97" s="8">
        <f>IF(Data!J97&lt;=QUARTILE(Data!J$4:J$153,1),1,IF(Data!J97&lt;=MEDIAN(Data!J$4:J$153),2,IF(Data!J97&lt;=QUARTILE(Data!J$4:J$153,3),3,4)))</f>
        <v>3</v>
      </c>
      <c r="K97" s="8">
        <f>IF(Data!K97&lt;=QUARTILE(Data!K$4:K$153,1),1,IF(Data!K97&lt;=MEDIAN(Data!K$4:K$153),2,IF(Data!K97&lt;=QUARTILE(Data!K$4:K$153,3),3,4)))</f>
        <v>1</v>
      </c>
      <c r="L97" s="8">
        <f>IF(Data!L97&lt;=QUARTILE(Data!L$4:L$153,1),1,IF(Data!L97&lt;=MEDIAN(Data!L$4:L$153),2,IF(Data!L97&lt;=QUARTILE(Data!L$4:L$153,3),3,4)))</f>
        <v>1</v>
      </c>
      <c r="M97" s="8">
        <f>IF(Data!M97&lt;=QUARTILE(Data!M$4:M$153,1),1,IF(Data!M97&lt;=MEDIAN(Data!M$4:M$153),2,IF(Data!M97&lt;=QUARTILE(Data!M$4:M$153,3),3,4)))</f>
        <v>2</v>
      </c>
      <c r="N97" s="8">
        <f>IF(Data!N97&lt;=QUARTILE(Data!N$4:N$153,1),1,IF(Data!N97&lt;=MEDIAN(Data!N$4:N$153),2,IF(Data!N97&lt;=QUARTILE(Data!N$4:N$153,3),3,4)))</f>
        <v>4</v>
      </c>
      <c r="O97" s="8">
        <f>IF(Data!O97&lt;=QUARTILE(Data!O$4:O$153,1),1,IF(Data!O97&lt;=MEDIAN(Data!O$4:O$153),2,IF(Data!O97&lt;=QUARTILE(Data!O$4:O$153,3),3,4)))</f>
        <v>3</v>
      </c>
      <c r="P97" s="8">
        <f>IF(Data!P97&lt;=QUARTILE(Data!P$4:P$153,1),1,IF(Data!P97&lt;=MEDIAN(Data!P$4:P$153),2,IF(Data!P97&lt;=QUARTILE(Data!P$4:P$153,3),3,4)))</f>
        <v>1</v>
      </c>
      <c r="Q97" s="8">
        <f>IF(Data!Q97&lt;=QUARTILE(Data!Q$4:Q$153,1),1,IF(Data!Q97&lt;=MEDIAN(Data!Q$4:Q$153),2,IF(Data!Q97&lt;=QUARTILE(Data!Q$4:Q$153,3),3,4)))</f>
        <v>2</v>
      </c>
      <c r="R97" s="8">
        <f>IF(Data!R97&lt;=QUARTILE(Data!R$4:R$153,1),1,IF(Data!R97&lt;=MEDIAN(Data!R$4:R$153),2,IF(Data!R97&lt;=QUARTILE(Data!R$4:R$153,3),3,4)))</f>
        <v>3</v>
      </c>
      <c r="S97" s="8">
        <f>IF(Data!S97&lt;=QUARTILE(Data!S$4:S$153,1),1,IF(Data!S97&lt;=MEDIAN(Data!S$4:S$153),2,IF(Data!S97&lt;=QUARTILE(Data!S$4:S$153,3),3,4)))</f>
        <v>4</v>
      </c>
      <c r="T97" s="9">
        <f>IF(Data!T97&lt;=QUARTILE(Data!T$4:T$153,1),1,IF(Data!T97&lt;=MEDIAN(Data!T$4:T$153),2,IF(Data!T97&lt;=QUARTILE(Data!T$4:T$153,3),3,4)))</f>
        <v>2</v>
      </c>
      <c r="U97" s="7">
        <f>IF(Data!U97&lt;=QUARTILE(Data!U$4:U$153,1),1,IF(Data!U97&lt;=MEDIAN(Data!U$4:U$153),2,IF(Data!U97&lt;=QUARTILE(Data!U$4:U$153,3),3,4)))</f>
        <v>1</v>
      </c>
      <c r="V97" s="8">
        <f>IF(Data!V97&lt;=QUARTILE(Data!V$4:V$153,1),1,IF(Data!V97&lt;=MEDIAN(Data!V$4:V$153),2,IF(Data!V97&lt;=QUARTILE(Data!V$4:V$153,3),3,4)))</f>
        <v>2</v>
      </c>
      <c r="W97" s="8">
        <f>IF(Data!W97&lt;=QUARTILE(Data!W$4:W$153,1),1,IF(Data!W97&lt;=MEDIAN(Data!W$4:W$153),2,IF(Data!W97&lt;=QUARTILE(Data!W$4:W$153,3),3,4)))</f>
        <v>3</v>
      </c>
      <c r="X97" s="8">
        <f>IF(Data!X97&lt;=QUARTILE(Data!X$4:X$153,1),1,IF(Data!X97&lt;=MEDIAN(Data!X$4:X$153),2,IF(Data!X97&lt;=QUARTILE(Data!X$4:X$153,3),3,4)))</f>
        <v>3</v>
      </c>
      <c r="Y97" s="8">
        <f>IF(Data!Y97&lt;=QUARTILE(Data!Y$4:Y$153,1),1,IF(Data!Y97&lt;=MEDIAN(Data!Y$4:Y$153),2,IF(Data!Y97&lt;=QUARTILE(Data!Y$4:Y$153,3),3,4)))</f>
        <v>4</v>
      </c>
      <c r="Z97" s="8">
        <f>IF(Data!Z97&lt;=QUARTILE(Data!Z$4:Z$153,1),1,IF(Data!Z97&lt;=MEDIAN(Data!Z$4:Z$153),2,IF(Data!Z97&lt;=QUARTILE(Data!Z$4:Z$153,3),3,4)))</f>
        <v>4</v>
      </c>
      <c r="AA97" s="8">
        <f>IF(Data!AA97&lt;=QUARTILE(Data!AA$4:AA$153,1),1,IF(Data!AA97&lt;=MEDIAN(Data!AA$4:AA$153),2,IF(Data!AA97&lt;=QUARTILE(Data!AA$4:AA$153,3),3,4)))</f>
        <v>2</v>
      </c>
      <c r="AB97" s="8">
        <f>IF(Data!AB97&lt;=QUARTILE(Data!AB$4:AB$153,1),1,IF(Data!AB97&lt;=MEDIAN(Data!AB$4:AB$153),2,IF(Data!AB97&lt;=QUARTILE(Data!AB$4:AB$153,3),3,4)))</f>
        <v>4</v>
      </c>
      <c r="AC97" s="8">
        <f>IF(Data!AC97&lt;=QUARTILE(Data!AC$4:AC$153,1),1,IF(Data!AC97&lt;=MEDIAN(Data!AC$4:AC$153),2,IF(Data!AC97&lt;=QUARTILE(Data!AC$4:AC$153,3),3,4)))</f>
        <v>2</v>
      </c>
      <c r="AD97" s="8">
        <f>IF(Data!AD97&lt;=QUARTILE(Data!AD$4:AD$153,1),1,IF(Data!AD97&lt;=MEDIAN(Data!AD$4:AD$153),2,IF(Data!AD97&lt;=QUARTILE(Data!AD$4:AD$153,3),3,4)))</f>
        <v>3</v>
      </c>
      <c r="AE97" s="8">
        <f>IF(Data!AE97&lt;=QUARTILE(Data!AE$4:AE$153,1),1,IF(Data!AE97&lt;=MEDIAN(Data!AE$4:AE$153),2,IF(Data!AE97&lt;=QUARTILE(Data!AE$4:AE$153,3),3,4)))</f>
        <v>3</v>
      </c>
      <c r="AF97" s="8">
        <f>IF(Data!AF97&lt;=QUARTILE(Data!AF$4:AF$153,1),1,IF(Data!AF97&lt;=MEDIAN(Data!AF$4:AF$153),2,IF(Data!AF97&lt;=QUARTILE(Data!AF$4:AF$153,3),3,4)))</f>
        <v>3</v>
      </c>
      <c r="AG97" s="8">
        <f>IF(Data!AG97&lt;=QUARTILE(Data!AG$4:AG$153,1),1,IF(Data!AG97&lt;=MEDIAN(Data!AG$4:AG$153),2,IF(Data!AG97&lt;=QUARTILE(Data!AG$4:AG$153,3),3,4)))</f>
        <v>3</v>
      </c>
      <c r="AH97" s="9">
        <f>IF(Data!AH97&lt;=QUARTILE(Data!AH$4:AH$153,1),1,IF(Data!AH97&lt;=MEDIAN(Data!AH$4:AH$153),2,IF(Data!AH97&lt;=QUARTILE(Data!AH$4:AH$153,3),3,4)))</f>
        <v>2</v>
      </c>
    </row>
    <row r="98" spans="1:34" x14ac:dyDescent="0.25">
      <c r="A98" s="7" t="s">
        <v>69</v>
      </c>
      <c r="B98" s="14" t="s">
        <v>68</v>
      </c>
      <c r="C98" s="7">
        <v>50</v>
      </c>
      <c r="D98" s="8">
        <v>32</v>
      </c>
      <c r="E98" s="42" t="s">
        <v>58</v>
      </c>
      <c r="F98" s="9">
        <v>2.17</v>
      </c>
      <c r="G98" s="7">
        <f>IF(Data!G98&lt;=QUARTILE(Data!G$4:G$153,1),1,IF(Data!G98&lt;=MEDIAN(Data!G$4:G$153),2,IF(Data!G98&lt;=QUARTILE(Data!G$4:G$153,3),3,4)))</f>
        <v>1</v>
      </c>
      <c r="H98" s="8">
        <f>IF(Data!H98&lt;=QUARTILE(Data!H$4:H$153,1),1,IF(Data!H98&lt;=MEDIAN(Data!H$4:H$153),2,IF(Data!H98&lt;=QUARTILE(Data!H$4:H$153,3),3,4)))</f>
        <v>1</v>
      </c>
      <c r="I98" s="8">
        <f>IF(Data!I98&lt;=QUARTILE(Data!I$4:I$153,1),1,IF(Data!I98&lt;=MEDIAN(Data!I$4:I$153),2,IF(Data!I98&lt;=QUARTILE(Data!I$4:I$153,3),3,4)))</f>
        <v>2</v>
      </c>
      <c r="J98" s="8">
        <f>IF(Data!J98&lt;=QUARTILE(Data!J$4:J$153,1),1,IF(Data!J98&lt;=MEDIAN(Data!J$4:J$153),2,IF(Data!J98&lt;=QUARTILE(Data!J$4:J$153,3),3,4)))</f>
        <v>3</v>
      </c>
      <c r="K98" s="8">
        <f>IF(Data!K98&lt;=QUARTILE(Data!K$4:K$153,1),1,IF(Data!K98&lt;=MEDIAN(Data!K$4:K$153),2,IF(Data!K98&lt;=QUARTILE(Data!K$4:K$153,3),3,4)))</f>
        <v>4</v>
      </c>
      <c r="L98" s="8">
        <f>IF(Data!L98&lt;=QUARTILE(Data!L$4:L$153,1),1,IF(Data!L98&lt;=MEDIAN(Data!L$4:L$153),2,IF(Data!L98&lt;=QUARTILE(Data!L$4:L$153,3),3,4)))</f>
        <v>4</v>
      </c>
      <c r="M98" s="8">
        <f>IF(Data!M98&lt;=QUARTILE(Data!M$4:M$153,1),1,IF(Data!M98&lt;=MEDIAN(Data!M$4:M$153),2,IF(Data!M98&lt;=QUARTILE(Data!M$4:M$153,3),3,4)))</f>
        <v>3</v>
      </c>
      <c r="N98" s="8">
        <f>IF(Data!N98&lt;=QUARTILE(Data!N$4:N$153,1),1,IF(Data!N98&lt;=MEDIAN(Data!N$4:N$153),2,IF(Data!N98&lt;=QUARTILE(Data!N$4:N$153,3),3,4)))</f>
        <v>3</v>
      </c>
      <c r="O98" s="8">
        <f>IF(Data!O98&lt;=QUARTILE(Data!O$4:O$153,1),1,IF(Data!O98&lt;=MEDIAN(Data!O$4:O$153),2,IF(Data!O98&lt;=QUARTILE(Data!O$4:O$153,3),3,4)))</f>
        <v>1</v>
      </c>
      <c r="P98" s="8">
        <f>IF(Data!P98&lt;=QUARTILE(Data!P$4:P$153,1),1,IF(Data!P98&lt;=MEDIAN(Data!P$4:P$153),2,IF(Data!P98&lt;=QUARTILE(Data!P$4:P$153,3),3,4)))</f>
        <v>2</v>
      </c>
      <c r="Q98" s="8">
        <f>IF(Data!Q98&lt;=QUARTILE(Data!Q$4:Q$153,1),1,IF(Data!Q98&lt;=MEDIAN(Data!Q$4:Q$153),2,IF(Data!Q98&lt;=QUARTILE(Data!Q$4:Q$153,3),3,4)))</f>
        <v>3</v>
      </c>
      <c r="R98" s="8">
        <f>IF(Data!R98&lt;=QUARTILE(Data!R$4:R$153,1),1,IF(Data!R98&lt;=MEDIAN(Data!R$4:R$153),2,IF(Data!R98&lt;=QUARTILE(Data!R$4:R$153,3),3,4)))</f>
        <v>2</v>
      </c>
      <c r="S98" s="8">
        <f>IF(Data!S98&lt;=QUARTILE(Data!S$4:S$153,1),1,IF(Data!S98&lt;=MEDIAN(Data!S$4:S$153),2,IF(Data!S98&lt;=QUARTILE(Data!S$4:S$153,3),3,4)))</f>
        <v>2</v>
      </c>
      <c r="T98" s="9">
        <f>IF(Data!T98&lt;=QUARTILE(Data!T$4:T$153,1),1,IF(Data!T98&lt;=MEDIAN(Data!T$4:T$153),2,IF(Data!T98&lt;=QUARTILE(Data!T$4:T$153,3),3,4)))</f>
        <v>2</v>
      </c>
      <c r="U98" s="7">
        <f>IF(Data!U98&lt;=QUARTILE(Data!U$4:U$153,1),1,IF(Data!U98&lt;=MEDIAN(Data!U$4:U$153),2,IF(Data!U98&lt;=QUARTILE(Data!U$4:U$153,3),3,4)))</f>
        <v>2</v>
      </c>
      <c r="V98" s="8">
        <f>IF(Data!V98&lt;=QUARTILE(Data!V$4:V$153,1),1,IF(Data!V98&lt;=MEDIAN(Data!V$4:V$153),2,IF(Data!V98&lt;=QUARTILE(Data!V$4:V$153,3),3,4)))</f>
        <v>2</v>
      </c>
      <c r="W98" s="8">
        <f>IF(Data!W98&lt;=QUARTILE(Data!W$4:W$153,1),1,IF(Data!W98&lt;=MEDIAN(Data!W$4:W$153),2,IF(Data!W98&lt;=QUARTILE(Data!W$4:W$153,3),3,4)))</f>
        <v>2</v>
      </c>
      <c r="X98" s="8">
        <f>IF(Data!X98&lt;=QUARTILE(Data!X$4:X$153,1),1,IF(Data!X98&lt;=MEDIAN(Data!X$4:X$153),2,IF(Data!X98&lt;=QUARTILE(Data!X$4:X$153,3),3,4)))</f>
        <v>1</v>
      </c>
      <c r="Y98" s="8">
        <f>IF(Data!Y98&lt;=QUARTILE(Data!Y$4:Y$153,1),1,IF(Data!Y98&lt;=MEDIAN(Data!Y$4:Y$153),2,IF(Data!Y98&lt;=QUARTILE(Data!Y$4:Y$153,3),3,4)))</f>
        <v>1</v>
      </c>
      <c r="Z98" s="8">
        <f>IF(Data!Z98&lt;=QUARTILE(Data!Z$4:Z$153,1),1,IF(Data!Z98&lt;=MEDIAN(Data!Z$4:Z$153),2,IF(Data!Z98&lt;=QUARTILE(Data!Z$4:Z$153,3),3,4)))</f>
        <v>2</v>
      </c>
      <c r="AA98" s="8">
        <f>IF(Data!AA98&lt;=QUARTILE(Data!AA$4:AA$153,1),1,IF(Data!AA98&lt;=MEDIAN(Data!AA$4:AA$153),2,IF(Data!AA98&lt;=QUARTILE(Data!AA$4:AA$153,3),3,4)))</f>
        <v>1</v>
      </c>
      <c r="AB98" s="8">
        <f>IF(Data!AB98&lt;=QUARTILE(Data!AB$4:AB$153,1),1,IF(Data!AB98&lt;=MEDIAN(Data!AB$4:AB$153),2,IF(Data!AB98&lt;=QUARTILE(Data!AB$4:AB$153,3),3,4)))</f>
        <v>2</v>
      </c>
      <c r="AC98" s="8">
        <f>IF(Data!AC98&lt;=QUARTILE(Data!AC$4:AC$153,1),1,IF(Data!AC98&lt;=MEDIAN(Data!AC$4:AC$153),2,IF(Data!AC98&lt;=QUARTILE(Data!AC$4:AC$153,3),3,4)))</f>
        <v>2</v>
      </c>
      <c r="AD98" s="8">
        <f>IF(Data!AD98&lt;=QUARTILE(Data!AD$4:AD$153,1),1,IF(Data!AD98&lt;=MEDIAN(Data!AD$4:AD$153),2,IF(Data!AD98&lt;=QUARTILE(Data!AD$4:AD$153,3),3,4)))</f>
        <v>1</v>
      </c>
      <c r="AE98" s="8">
        <f>IF(Data!AE98&lt;=QUARTILE(Data!AE$4:AE$153,1),1,IF(Data!AE98&lt;=MEDIAN(Data!AE$4:AE$153),2,IF(Data!AE98&lt;=QUARTILE(Data!AE$4:AE$153,3),3,4)))</f>
        <v>2</v>
      </c>
      <c r="AF98" s="8">
        <f>IF(Data!AF98&lt;=QUARTILE(Data!AF$4:AF$153,1),1,IF(Data!AF98&lt;=MEDIAN(Data!AF$4:AF$153),2,IF(Data!AF98&lt;=QUARTILE(Data!AF$4:AF$153,3),3,4)))</f>
        <v>1</v>
      </c>
      <c r="AG98" s="8">
        <f>IF(Data!AG98&lt;=QUARTILE(Data!AG$4:AG$153,1),1,IF(Data!AG98&lt;=MEDIAN(Data!AG$4:AG$153),2,IF(Data!AG98&lt;=QUARTILE(Data!AG$4:AG$153,3),3,4)))</f>
        <v>3</v>
      </c>
      <c r="AH98" s="9">
        <f>IF(Data!AH98&lt;=QUARTILE(Data!AH$4:AH$153,1),1,IF(Data!AH98&lt;=MEDIAN(Data!AH$4:AH$153),2,IF(Data!AH98&lt;=QUARTILE(Data!AH$4:AH$153,3),3,4)))</f>
        <v>2</v>
      </c>
    </row>
    <row r="99" spans="1:34" x14ac:dyDescent="0.25">
      <c r="A99" s="7" t="s">
        <v>73</v>
      </c>
      <c r="B99" s="14" t="s">
        <v>68</v>
      </c>
      <c r="C99" s="7">
        <v>60</v>
      </c>
      <c r="D99" s="8">
        <v>22</v>
      </c>
      <c r="E99" s="42" t="s">
        <v>58</v>
      </c>
      <c r="F99" s="9">
        <v>5.96</v>
      </c>
      <c r="G99" s="7">
        <f>IF(Data!G99&lt;=QUARTILE(Data!G$4:G$153,1),1,IF(Data!G99&lt;=MEDIAN(Data!G$4:G$153),2,IF(Data!G99&lt;=QUARTILE(Data!G$4:G$153,3),3,4)))</f>
        <v>2</v>
      </c>
      <c r="H99" s="8">
        <f>IF(Data!H99&lt;=QUARTILE(Data!H$4:H$153,1),1,IF(Data!H99&lt;=MEDIAN(Data!H$4:H$153),2,IF(Data!H99&lt;=QUARTILE(Data!H$4:H$153,3),3,4)))</f>
        <v>1</v>
      </c>
      <c r="I99" s="8">
        <f>IF(Data!I99&lt;=QUARTILE(Data!I$4:I$153,1),1,IF(Data!I99&lt;=MEDIAN(Data!I$4:I$153),2,IF(Data!I99&lt;=QUARTILE(Data!I$4:I$153,3),3,4)))</f>
        <v>1</v>
      </c>
      <c r="J99" s="8">
        <f>IF(Data!J99&lt;=QUARTILE(Data!J$4:J$153,1),1,IF(Data!J99&lt;=MEDIAN(Data!J$4:J$153),2,IF(Data!J99&lt;=QUARTILE(Data!J$4:J$153,3),3,4)))</f>
        <v>1</v>
      </c>
      <c r="K99" s="8">
        <f>IF(Data!K99&lt;=QUARTILE(Data!K$4:K$153,1),1,IF(Data!K99&lt;=MEDIAN(Data!K$4:K$153),2,IF(Data!K99&lt;=QUARTILE(Data!K$4:K$153,3),3,4)))</f>
        <v>4</v>
      </c>
      <c r="L99" s="8">
        <f>IF(Data!L99&lt;=QUARTILE(Data!L$4:L$153,1),1,IF(Data!L99&lt;=MEDIAN(Data!L$4:L$153),2,IF(Data!L99&lt;=QUARTILE(Data!L$4:L$153,3),3,4)))</f>
        <v>4</v>
      </c>
      <c r="M99" s="8">
        <f>IF(Data!M99&lt;=QUARTILE(Data!M$4:M$153,1),1,IF(Data!M99&lt;=MEDIAN(Data!M$4:M$153),2,IF(Data!M99&lt;=QUARTILE(Data!M$4:M$153,3),3,4)))</f>
        <v>4</v>
      </c>
      <c r="N99" s="8">
        <f>IF(Data!N99&lt;=QUARTILE(Data!N$4:N$153,1),1,IF(Data!N99&lt;=MEDIAN(Data!N$4:N$153),2,IF(Data!N99&lt;=QUARTILE(Data!N$4:N$153,3),3,4)))</f>
        <v>2</v>
      </c>
      <c r="O99" s="8">
        <f>IF(Data!O99&lt;=QUARTILE(Data!O$4:O$153,1),1,IF(Data!O99&lt;=MEDIAN(Data!O$4:O$153),2,IF(Data!O99&lt;=QUARTILE(Data!O$4:O$153,3),3,4)))</f>
        <v>1</v>
      </c>
      <c r="P99" s="8">
        <f>IF(Data!P99&lt;=QUARTILE(Data!P$4:P$153,1),1,IF(Data!P99&lt;=MEDIAN(Data!P$4:P$153),2,IF(Data!P99&lt;=QUARTILE(Data!P$4:P$153,3),3,4)))</f>
        <v>3</v>
      </c>
      <c r="Q99" s="8">
        <f>IF(Data!Q99&lt;=QUARTILE(Data!Q$4:Q$153,1),1,IF(Data!Q99&lt;=MEDIAN(Data!Q$4:Q$153),2,IF(Data!Q99&lt;=QUARTILE(Data!Q$4:Q$153,3),3,4)))</f>
        <v>4</v>
      </c>
      <c r="R99" s="8">
        <f>IF(Data!R99&lt;=QUARTILE(Data!R$4:R$153,1),1,IF(Data!R99&lt;=MEDIAN(Data!R$4:R$153),2,IF(Data!R99&lt;=QUARTILE(Data!R$4:R$153,3),3,4)))</f>
        <v>1</v>
      </c>
      <c r="S99" s="8">
        <f>IF(Data!S99&lt;=QUARTILE(Data!S$4:S$153,1),1,IF(Data!S99&lt;=MEDIAN(Data!S$4:S$153),2,IF(Data!S99&lt;=QUARTILE(Data!S$4:S$153,3),3,4)))</f>
        <v>3</v>
      </c>
      <c r="T99" s="9">
        <f>IF(Data!T99&lt;=QUARTILE(Data!T$4:T$153,1),1,IF(Data!T99&lt;=MEDIAN(Data!T$4:T$153),2,IF(Data!T99&lt;=QUARTILE(Data!T$4:T$153,3),3,4)))</f>
        <v>3</v>
      </c>
      <c r="U99" s="7">
        <f>IF(Data!U99&lt;=QUARTILE(Data!U$4:U$153,1),1,IF(Data!U99&lt;=MEDIAN(Data!U$4:U$153),2,IF(Data!U99&lt;=QUARTILE(Data!U$4:U$153,3),3,4)))</f>
        <v>1</v>
      </c>
      <c r="V99" s="8">
        <f>IF(Data!V99&lt;=QUARTILE(Data!V$4:V$153,1),1,IF(Data!V99&lt;=MEDIAN(Data!V$4:V$153),2,IF(Data!V99&lt;=QUARTILE(Data!V$4:V$153,3),3,4)))</f>
        <v>1</v>
      </c>
      <c r="W99" s="8">
        <f>IF(Data!W99&lt;=QUARTILE(Data!W$4:W$153,1),1,IF(Data!W99&lt;=MEDIAN(Data!W$4:W$153),2,IF(Data!W99&lt;=QUARTILE(Data!W$4:W$153,3),3,4)))</f>
        <v>1</v>
      </c>
      <c r="X99" s="8">
        <f>IF(Data!X99&lt;=QUARTILE(Data!X$4:X$153,1),1,IF(Data!X99&lt;=MEDIAN(Data!X$4:X$153),2,IF(Data!X99&lt;=QUARTILE(Data!X$4:X$153,3),3,4)))</f>
        <v>1</v>
      </c>
      <c r="Y99" s="8">
        <f>IF(Data!Y99&lt;=QUARTILE(Data!Y$4:Y$153,1),1,IF(Data!Y99&lt;=MEDIAN(Data!Y$4:Y$153),2,IF(Data!Y99&lt;=QUARTILE(Data!Y$4:Y$153,3),3,4)))</f>
        <v>3</v>
      </c>
      <c r="Z99" s="8">
        <f>IF(Data!Z99&lt;=QUARTILE(Data!Z$4:Z$153,1),1,IF(Data!Z99&lt;=MEDIAN(Data!Z$4:Z$153),2,IF(Data!Z99&lt;=QUARTILE(Data!Z$4:Z$153,3),3,4)))</f>
        <v>3</v>
      </c>
      <c r="AA99" s="8">
        <f>IF(Data!AA99&lt;=QUARTILE(Data!AA$4:AA$153,1),1,IF(Data!AA99&lt;=MEDIAN(Data!AA$4:AA$153),2,IF(Data!AA99&lt;=QUARTILE(Data!AA$4:AA$153,3),3,4)))</f>
        <v>3</v>
      </c>
      <c r="AB99" s="8">
        <f>IF(Data!AB99&lt;=QUARTILE(Data!AB$4:AB$153,1),1,IF(Data!AB99&lt;=MEDIAN(Data!AB$4:AB$153),2,IF(Data!AB99&lt;=QUARTILE(Data!AB$4:AB$153,3),3,4)))</f>
        <v>1</v>
      </c>
      <c r="AC99" s="8">
        <f>IF(Data!AC99&lt;=QUARTILE(Data!AC$4:AC$153,1),1,IF(Data!AC99&lt;=MEDIAN(Data!AC$4:AC$153),2,IF(Data!AC99&lt;=QUARTILE(Data!AC$4:AC$153,3),3,4)))</f>
        <v>1</v>
      </c>
      <c r="AD99" s="8">
        <f>IF(Data!AD99&lt;=QUARTILE(Data!AD$4:AD$153,1),1,IF(Data!AD99&lt;=MEDIAN(Data!AD$4:AD$153),2,IF(Data!AD99&lt;=QUARTILE(Data!AD$4:AD$153,3),3,4)))</f>
        <v>1</v>
      </c>
      <c r="AE99" s="8">
        <f>IF(Data!AE99&lt;=QUARTILE(Data!AE$4:AE$153,1),1,IF(Data!AE99&lt;=MEDIAN(Data!AE$4:AE$153),2,IF(Data!AE99&lt;=QUARTILE(Data!AE$4:AE$153,3),3,4)))</f>
        <v>3</v>
      </c>
      <c r="AF99" s="8">
        <f>IF(Data!AF99&lt;=QUARTILE(Data!AF$4:AF$153,1),1,IF(Data!AF99&lt;=MEDIAN(Data!AF$4:AF$153),2,IF(Data!AF99&lt;=QUARTILE(Data!AF$4:AF$153,3),3,4)))</f>
        <v>2</v>
      </c>
      <c r="AG99" s="8">
        <f>IF(Data!AG99&lt;=QUARTILE(Data!AG$4:AG$153,1),1,IF(Data!AG99&lt;=MEDIAN(Data!AG$4:AG$153),2,IF(Data!AG99&lt;=QUARTILE(Data!AG$4:AG$153,3),3,4)))</f>
        <v>4</v>
      </c>
      <c r="AH99" s="9">
        <f>IF(Data!AH99&lt;=QUARTILE(Data!AH$4:AH$153,1),1,IF(Data!AH99&lt;=MEDIAN(Data!AH$4:AH$153),2,IF(Data!AH99&lt;=QUARTILE(Data!AH$4:AH$153,3),3,4)))</f>
        <v>1</v>
      </c>
    </row>
    <row r="100" spans="1:34" x14ac:dyDescent="0.25">
      <c r="A100" s="7" t="s">
        <v>74</v>
      </c>
      <c r="B100" s="14" t="s">
        <v>68</v>
      </c>
      <c r="C100" s="7">
        <v>44</v>
      </c>
      <c r="D100" s="8">
        <v>38</v>
      </c>
      <c r="E100" s="42" t="s">
        <v>58</v>
      </c>
      <c r="F100" s="9">
        <v>0.36</v>
      </c>
      <c r="G100" s="7">
        <f>IF(Data!G100&lt;=QUARTILE(Data!G$4:G$153,1),1,IF(Data!G100&lt;=MEDIAN(Data!G$4:G$153),2,IF(Data!G100&lt;=QUARTILE(Data!G$4:G$153,3),3,4)))</f>
        <v>4</v>
      </c>
      <c r="H100" s="8">
        <f>IF(Data!H100&lt;=QUARTILE(Data!H$4:H$153,1),1,IF(Data!H100&lt;=MEDIAN(Data!H$4:H$153),2,IF(Data!H100&lt;=QUARTILE(Data!H$4:H$153,3),3,4)))</f>
        <v>3</v>
      </c>
      <c r="I100" s="8">
        <f>IF(Data!I100&lt;=QUARTILE(Data!I$4:I$153,1),1,IF(Data!I100&lt;=MEDIAN(Data!I$4:I$153),2,IF(Data!I100&lt;=QUARTILE(Data!I$4:I$153,3),3,4)))</f>
        <v>1</v>
      </c>
      <c r="J100" s="8">
        <f>IF(Data!J100&lt;=QUARTILE(Data!J$4:J$153,1),1,IF(Data!J100&lt;=MEDIAN(Data!J$4:J$153),2,IF(Data!J100&lt;=QUARTILE(Data!J$4:J$153,3),3,4)))</f>
        <v>1</v>
      </c>
      <c r="K100" s="8">
        <f>IF(Data!K100&lt;=QUARTILE(Data!K$4:K$153,1),1,IF(Data!K100&lt;=MEDIAN(Data!K$4:K$153),2,IF(Data!K100&lt;=QUARTILE(Data!K$4:K$153,3),3,4)))</f>
        <v>4</v>
      </c>
      <c r="L100" s="8">
        <f>IF(Data!L100&lt;=QUARTILE(Data!L$4:L$153,1),1,IF(Data!L100&lt;=MEDIAN(Data!L$4:L$153),2,IF(Data!L100&lt;=QUARTILE(Data!L$4:L$153,3),3,4)))</f>
        <v>4</v>
      </c>
      <c r="M100" s="8">
        <f>IF(Data!M100&lt;=QUARTILE(Data!M$4:M$153,1),1,IF(Data!M100&lt;=MEDIAN(Data!M$4:M$153),2,IF(Data!M100&lt;=QUARTILE(Data!M$4:M$153,3),3,4)))</f>
        <v>2</v>
      </c>
      <c r="N100" s="8">
        <f>IF(Data!N100&lt;=QUARTILE(Data!N$4:N$153,1),1,IF(Data!N100&lt;=MEDIAN(Data!N$4:N$153),2,IF(Data!N100&lt;=QUARTILE(Data!N$4:N$153,3),3,4)))</f>
        <v>3</v>
      </c>
      <c r="O100" s="8">
        <f>IF(Data!O100&lt;=QUARTILE(Data!O$4:O$153,1),1,IF(Data!O100&lt;=MEDIAN(Data!O$4:O$153),2,IF(Data!O100&lt;=QUARTILE(Data!O$4:O$153,3),3,4)))</f>
        <v>4</v>
      </c>
      <c r="P100" s="8">
        <f>IF(Data!P100&lt;=QUARTILE(Data!P$4:P$153,1),1,IF(Data!P100&lt;=MEDIAN(Data!P$4:P$153),2,IF(Data!P100&lt;=QUARTILE(Data!P$4:P$153,3),3,4)))</f>
        <v>4</v>
      </c>
      <c r="Q100" s="8">
        <f>IF(Data!Q100&lt;=QUARTILE(Data!Q$4:Q$153,1),1,IF(Data!Q100&lt;=MEDIAN(Data!Q$4:Q$153),2,IF(Data!Q100&lt;=QUARTILE(Data!Q$4:Q$153,3),3,4)))</f>
        <v>4</v>
      </c>
      <c r="R100" s="8">
        <f>IF(Data!R100&lt;=QUARTILE(Data!R$4:R$153,1),1,IF(Data!R100&lt;=MEDIAN(Data!R$4:R$153),2,IF(Data!R100&lt;=QUARTILE(Data!R$4:R$153,3),3,4)))</f>
        <v>3</v>
      </c>
      <c r="S100" s="8">
        <f>IF(Data!S100&lt;=QUARTILE(Data!S$4:S$153,1),1,IF(Data!S100&lt;=MEDIAN(Data!S$4:S$153),2,IF(Data!S100&lt;=QUARTILE(Data!S$4:S$153,3),3,4)))</f>
        <v>3</v>
      </c>
      <c r="T100" s="9">
        <f>IF(Data!T100&lt;=QUARTILE(Data!T$4:T$153,1),1,IF(Data!T100&lt;=MEDIAN(Data!T$4:T$153),2,IF(Data!T100&lt;=QUARTILE(Data!T$4:T$153,3),3,4)))</f>
        <v>3</v>
      </c>
      <c r="U100" s="7">
        <f>IF(Data!U100&lt;=QUARTILE(Data!U$4:U$153,1),1,IF(Data!U100&lt;=MEDIAN(Data!U$4:U$153),2,IF(Data!U100&lt;=QUARTILE(Data!U$4:U$153,3),3,4)))</f>
        <v>3</v>
      </c>
      <c r="V100" s="8">
        <f>IF(Data!V100&lt;=QUARTILE(Data!V$4:V$153,1),1,IF(Data!V100&lt;=MEDIAN(Data!V$4:V$153),2,IF(Data!V100&lt;=QUARTILE(Data!V$4:V$153,3),3,4)))</f>
        <v>4</v>
      </c>
      <c r="W100" s="8">
        <f>IF(Data!W100&lt;=QUARTILE(Data!W$4:W$153,1),1,IF(Data!W100&lt;=MEDIAN(Data!W$4:W$153),2,IF(Data!W100&lt;=QUARTILE(Data!W$4:W$153,3),3,4)))</f>
        <v>3</v>
      </c>
      <c r="X100" s="8">
        <f>IF(Data!X100&lt;=QUARTILE(Data!X$4:X$153,1),1,IF(Data!X100&lt;=MEDIAN(Data!X$4:X$153),2,IF(Data!X100&lt;=QUARTILE(Data!X$4:X$153,3),3,4)))</f>
        <v>3</v>
      </c>
      <c r="Y100" s="8">
        <f>IF(Data!Y100&lt;=QUARTILE(Data!Y$4:Y$153,1),1,IF(Data!Y100&lt;=MEDIAN(Data!Y$4:Y$153),2,IF(Data!Y100&lt;=QUARTILE(Data!Y$4:Y$153,3),3,4)))</f>
        <v>2</v>
      </c>
      <c r="Z100" s="8">
        <f>IF(Data!Z100&lt;=QUARTILE(Data!Z$4:Z$153,1),1,IF(Data!Z100&lt;=MEDIAN(Data!Z$4:Z$153),2,IF(Data!Z100&lt;=QUARTILE(Data!Z$4:Z$153,3),3,4)))</f>
        <v>2</v>
      </c>
      <c r="AA100" s="8">
        <f>IF(Data!AA100&lt;=QUARTILE(Data!AA$4:AA$153,1),1,IF(Data!AA100&lt;=MEDIAN(Data!AA$4:AA$153),2,IF(Data!AA100&lt;=QUARTILE(Data!AA$4:AA$153,3),3,4)))</f>
        <v>3</v>
      </c>
      <c r="AB100" s="8">
        <f>IF(Data!AB100&lt;=QUARTILE(Data!AB$4:AB$153,1),1,IF(Data!AB100&lt;=MEDIAN(Data!AB$4:AB$153),2,IF(Data!AB100&lt;=QUARTILE(Data!AB$4:AB$153,3),3,4)))</f>
        <v>3</v>
      </c>
      <c r="AC100" s="8">
        <f>IF(Data!AC100&lt;=QUARTILE(Data!AC$4:AC$153,1),1,IF(Data!AC100&lt;=MEDIAN(Data!AC$4:AC$153),2,IF(Data!AC100&lt;=QUARTILE(Data!AC$4:AC$153,3),3,4)))</f>
        <v>4</v>
      </c>
      <c r="AD100" s="8">
        <f>IF(Data!AD100&lt;=QUARTILE(Data!AD$4:AD$153,1),1,IF(Data!AD100&lt;=MEDIAN(Data!AD$4:AD$153),2,IF(Data!AD100&lt;=QUARTILE(Data!AD$4:AD$153,3),3,4)))</f>
        <v>2</v>
      </c>
      <c r="AE100" s="8">
        <f>IF(Data!AE100&lt;=QUARTILE(Data!AE$4:AE$153,1),1,IF(Data!AE100&lt;=MEDIAN(Data!AE$4:AE$153),2,IF(Data!AE100&lt;=QUARTILE(Data!AE$4:AE$153,3),3,4)))</f>
        <v>4</v>
      </c>
      <c r="AF100" s="8">
        <f>IF(Data!AF100&lt;=QUARTILE(Data!AF$4:AF$153,1),1,IF(Data!AF100&lt;=MEDIAN(Data!AF$4:AF$153),2,IF(Data!AF100&lt;=QUARTILE(Data!AF$4:AF$153,3),3,4)))</f>
        <v>4</v>
      </c>
      <c r="AG100" s="8">
        <f>IF(Data!AG100&lt;=QUARTILE(Data!AG$4:AG$153,1),1,IF(Data!AG100&lt;=MEDIAN(Data!AG$4:AG$153),2,IF(Data!AG100&lt;=QUARTILE(Data!AG$4:AG$153,3),3,4)))</f>
        <v>4</v>
      </c>
      <c r="AH100" s="9">
        <f>IF(Data!AH100&lt;=QUARTILE(Data!AH$4:AH$153,1),1,IF(Data!AH100&lt;=MEDIAN(Data!AH$4:AH$153),2,IF(Data!AH100&lt;=QUARTILE(Data!AH$4:AH$153,3),3,4)))</f>
        <v>3</v>
      </c>
    </row>
    <row r="101" spans="1:34" x14ac:dyDescent="0.25">
      <c r="A101" s="7" t="s">
        <v>75</v>
      </c>
      <c r="B101" s="14" t="s">
        <v>68</v>
      </c>
      <c r="C101" s="7">
        <v>64</v>
      </c>
      <c r="D101" s="8">
        <v>18</v>
      </c>
      <c r="E101" s="42" t="s">
        <v>58</v>
      </c>
      <c r="F101" s="9">
        <v>6.23</v>
      </c>
      <c r="G101" s="7">
        <f>IF(Data!G101&lt;=QUARTILE(Data!G$4:G$153,1),1,IF(Data!G101&lt;=MEDIAN(Data!G$4:G$153),2,IF(Data!G101&lt;=QUARTILE(Data!G$4:G$153,3),3,4)))</f>
        <v>2</v>
      </c>
      <c r="H101" s="8">
        <f>IF(Data!H101&lt;=QUARTILE(Data!H$4:H$153,1),1,IF(Data!H101&lt;=MEDIAN(Data!H$4:H$153),2,IF(Data!H101&lt;=QUARTILE(Data!H$4:H$153,3),3,4)))</f>
        <v>2</v>
      </c>
      <c r="I101" s="8">
        <f>IF(Data!I101&lt;=QUARTILE(Data!I$4:I$153,1),1,IF(Data!I101&lt;=MEDIAN(Data!I$4:I$153),2,IF(Data!I101&lt;=QUARTILE(Data!I$4:I$153,3),3,4)))</f>
        <v>3</v>
      </c>
      <c r="J101" s="8">
        <f>IF(Data!J101&lt;=QUARTILE(Data!J$4:J$153,1),1,IF(Data!J101&lt;=MEDIAN(Data!J$4:J$153),2,IF(Data!J101&lt;=QUARTILE(Data!J$4:J$153,3),3,4)))</f>
        <v>3</v>
      </c>
      <c r="K101" s="8">
        <f>IF(Data!K101&lt;=QUARTILE(Data!K$4:K$153,1),1,IF(Data!K101&lt;=MEDIAN(Data!K$4:K$153),2,IF(Data!K101&lt;=QUARTILE(Data!K$4:K$153,3),3,4)))</f>
        <v>1</v>
      </c>
      <c r="L101" s="8">
        <f>IF(Data!L101&lt;=QUARTILE(Data!L$4:L$153,1),1,IF(Data!L101&lt;=MEDIAN(Data!L$4:L$153),2,IF(Data!L101&lt;=QUARTILE(Data!L$4:L$153,3),3,4)))</f>
        <v>1</v>
      </c>
      <c r="M101" s="8">
        <f>IF(Data!M101&lt;=QUARTILE(Data!M$4:M$153,1),1,IF(Data!M101&lt;=MEDIAN(Data!M$4:M$153),2,IF(Data!M101&lt;=QUARTILE(Data!M$4:M$153,3),3,4)))</f>
        <v>3</v>
      </c>
      <c r="N101" s="8">
        <f>IF(Data!N101&lt;=QUARTILE(Data!N$4:N$153,1),1,IF(Data!N101&lt;=MEDIAN(Data!N$4:N$153),2,IF(Data!N101&lt;=QUARTILE(Data!N$4:N$153,3),3,4)))</f>
        <v>1</v>
      </c>
      <c r="O101" s="8">
        <f>IF(Data!O101&lt;=QUARTILE(Data!O$4:O$153,1),1,IF(Data!O101&lt;=MEDIAN(Data!O$4:O$153),2,IF(Data!O101&lt;=QUARTILE(Data!O$4:O$153,3),3,4)))</f>
        <v>4</v>
      </c>
      <c r="P101" s="8">
        <f>IF(Data!P101&lt;=QUARTILE(Data!P$4:P$153,1),1,IF(Data!P101&lt;=MEDIAN(Data!P$4:P$153),2,IF(Data!P101&lt;=QUARTILE(Data!P$4:P$153,3),3,4)))</f>
        <v>2</v>
      </c>
      <c r="Q101" s="8">
        <f>IF(Data!Q101&lt;=QUARTILE(Data!Q$4:Q$153,1),1,IF(Data!Q101&lt;=MEDIAN(Data!Q$4:Q$153),2,IF(Data!Q101&lt;=QUARTILE(Data!Q$4:Q$153,3),3,4)))</f>
        <v>4</v>
      </c>
      <c r="R101" s="8">
        <f>IF(Data!R101&lt;=QUARTILE(Data!R$4:R$153,1),1,IF(Data!R101&lt;=MEDIAN(Data!R$4:R$153),2,IF(Data!R101&lt;=QUARTILE(Data!R$4:R$153,3),3,4)))</f>
        <v>1</v>
      </c>
      <c r="S101" s="8">
        <f>IF(Data!S101&lt;=QUARTILE(Data!S$4:S$153,1),1,IF(Data!S101&lt;=MEDIAN(Data!S$4:S$153),2,IF(Data!S101&lt;=QUARTILE(Data!S$4:S$153,3),3,4)))</f>
        <v>1</v>
      </c>
      <c r="T101" s="9">
        <f>IF(Data!T101&lt;=QUARTILE(Data!T$4:T$153,1),1,IF(Data!T101&lt;=MEDIAN(Data!T$4:T$153),2,IF(Data!T101&lt;=QUARTILE(Data!T$4:T$153,3),3,4)))</f>
        <v>2</v>
      </c>
      <c r="U101" s="7">
        <f>IF(Data!U101&lt;=QUARTILE(Data!U$4:U$153,1),1,IF(Data!U101&lt;=MEDIAN(Data!U$4:U$153),2,IF(Data!U101&lt;=QUARTILE(Data!U$4:U$153,3),3,4)))</f>
        <v>2</v>
      </c>
      <c r="V101" s="8">
        <f>IF(Data!V101&lt;=QUARTILE(Data!V$4:V$153,1),1,IF(Data!V101&lt;=MEDIAN(Data!V$4:V$153),2,IF(Data!V101&lt;=QUARTILE(Data!V$4:V$153,3),3,4)))</f>
        <v>2</v>
      </c>
      <c r="W101" s="8">
        <f>IF(Data!W101&lt;=QUARTILE(Data!W$4:W$153,1),1,IF(Data!W101&lt;=MEDIAN(Data!W$4:W$153),2,IF(Data!W101&lt;=QUARTILE(Data!W$4:W$153,3),3,4)))</f>
        <v>1</v>
      </c>
      <c r="X101" s="8">
        <f>IF(Data!X101&lt;=QUARTILE(Data!X$4:X$153,1),1,IF(Data!X101&lt;=MEDIAN(Data!X$4:X$153),2,IF(Data!X101&lt;=QUARTILE(Data!X$4:X$153,3),3,4)))</f>
        <v>1</v>
      </c>
      <c r="Y101" s="8">
        <f>IF(Data!Y101&lt;=QUARTILE(Data!Y$4:Y$153,1),1,IF(Data!Y101&lt;=MEDIAN(Data!Y$4:Y$153),2,IF(Data!Y101&lt;=QUARTILE(Data!Y$4:Y$153,3),3,4)))</f>
        <v>1</v>
      </c>
      <c r="Z101" s="8">
        <f>IF(Data!Z101&lt;=QUARTILE(Data!Z$4:Z$153,1),1,IF(Data!Z101&lt;=MEDIAN(Data!Z$4:Z$153),2,IF(Data!Z101&lt;=QUARTILE(Data!Z$4:Z$153,3),3,4)))</f>
        <v>1</v>
      </c>
      <c r="AA101" s="8">
        <f>IF(Data!AA101&lt;=QUARTILE(Data!AA$4:AA$153,1),1,IF(Data!AA101&lt;=MEDIAN(Data!AA$4:AA$153),2,IF(Data!AA101&lt;=QUARTILE(Data!AA$4:AA$153,3),3,4)))</f>
        <v>3</v>
      </c>
      <c r="AB101" s="8">
        <f>IF(Data!AB101&lt;=QUARTILE(Data!AB$4:AB$153,1),1,IF(Data!AB101&lt;=MEDIAN(Data!AB$4:AB$153),2,IF(Data!AB101&lt;=QUARTILE(Data!AB$4:AB$153,3),3,4)))</f>
        <v>2</v>
      </c>
      <c r="AC101" s="8">
        <f>IF(Data!AC101&lt;=QUARTILE(Data!AC$4:AC$153,1),1,IF(Data!AC101&lt;=MEDIAN(Data!AC$4:AC$153),2,IF(Data!AC101&lt;=QUARTILE(Data!AC$4:AC$153,3),3,4)))</f>
        <v>1</v>
      </c>
      <c r="AD101" s="8">
        <f>IF(Data!AD101&lt;=QUARTILE(Data!AD$4:AD$153,1),1,IF(Data!AD101&lt;=MEDIAN(Data!AD$4:AD$153),2,IF(Data!AD101&lt;=QUARTILE(Data!AD$4:AD$153,3),3,4)))</f>
        <v>1</v>
      </c>
      <c r="AE101" s="8">
        <f>IF(Data!AE101&lt;=QUARTILE(Data!AE$4:AE$153,1),1,IF(Data!AE101&lt;=MEDIAN(Data!AE$4:AE$153),2,IF(Data!AE101&lt;=QUARTILE(Data!AE$4:AE$153,3),3,4)))</f>
        <v>1</v>
      </c>
      <c r="AF101" s="8">
        <f>IF(Data!AF101&lt;=QUARTILE(Data!AF$4:AF$153,1),1,IF(Data!AF101&lt;=MEDIAN(Data!AF$4:AF$153),2,IF(Data!AF101&lt;=QUARTILE(Data!AF$4:AF$153,3),3,4)))</f>
        <v>2</v>
      </c>
      <c r="AG101" s="8">
        <f>IF(Data!AG101&lt;=QUARTILE(Data!AG$4:AG$153,1),1,IF(Data!AG101&lt;=MEDIAN(Data!AG$4:AG$153),2,IF(Data!AG101&lt;=QUARTILE(Data!AG$4:AG$153,3),3,4)))</f>
        <v>2</v>
      </c>
      <c r="AH101" s="9">
        <f>IF(Data!AH101&lt;=QUARTILE(Data!AH$4:AH$153,1),1,IF(Data!AH101&lt;=MEDIAN(Data!AH$4:AH$153),2,IF(Data!AH101&lt;=QUARTILE(Data!AH$4:AH$153,3),3,4)))</f>
        <v>1</v>
      </c>
    </row>
    <row r="102" spans="1:34" x14ac:dyDescent="0.25">
      <c r="A102" s="7" t="s">
        <v>17</v>
      </c>
      <c r="B102" s="14" t="s">
        <v>68</v>
      </c>
      <c r="C102" s="7">
        <v>34</v>
      </c>
      <c r="D102" s="8">
        <v>48</v>
      </c>
      <c r="E102" s="42" t="s">
        <v>59</v>
      </c>
      <c r="F102" s="9">
        <v>-1.1100000000000001</v>
      </c>
      <c r="G102" s="7">
        <f>IF(Data!G102&lt;=QUARTILE(Data!G$4:G$153,1),1,IF(Data!G102&lt;=MEDIAN(Data!G$4:G$153),2,IF(Data!G102&lt;=QUARTILE(Data!G$4:G$153,3),3,4)))</f>
        <v>2</v>
      </c>
      <c r="H102" s="8">
        <f>IF(Data!H102&lt;=QUARTILE(Data!H$4:H$153,1),1,IF(Data!H102&lt;=MEDIAN(Data!H$4:H$153),2,IF(Data!H102&lt;=QUARTILE(Data!H$4:H$153,3),3,4)))</f>
        <v>4</v>
      </c>
      <c r="I102" s="8">
        <f>IF(Data!I102&lt;=QUARTILE(Data!I$4:I$153,1),1,IF(Data!I102&lt;=MEDIAN(Data!I$4:I$153),2,IF(Data!I102&lt;=QUARTILE(Data!I$4:I$153,3),3,4)))</f>
        <v>4</v>
      </c>
      <c r="J102" s="8">
        <f>IF(Data!J102&lt;=QUARTILE(Data!J$4:J$153,1),1,IF(Data!J102&lt;=MEDIAN(Data!J$4:J$153),2,IF(Data!J102&lt;=QUARTILE(Data!J$4:J$153,3),3,4)))</f>
        <v>4</v>
      </c>
      <c r="K102" s="8">
        <f>IF(Data!K102&lt;=QUARTILE(Data!K$4:K$153,1),1,IF(Data!K102&lt;=MEDIAN(Data!K$4:K$153),2,IF(Data!K102&lt;=QUARTILE(Data!K$4:K$153,3),3,4)))</f>
        <v>3</v>
      </c>
      <c r="L102" s="8">
        <f>IF(Data!L102&lt;=QUARTILE(Data!L$4:L$153,1),1,IF(Data!L102&lt;=MEDIAN(Data!L$4:L$153),2,IF(Data!L102&lt;=QUARTILE(Data!L$4:L$153,3),3,4)))</f>
        <v>3</v>
      </c>
      <c r="M102" s="8">
        <f>IF(Data!M102&lt;=QUARTILE(Data!M$4:M$153,1),1,IF(Data!M102&lt;=MEDIAN(Data!M$4:M$153),2,IF(Data!M102&lt;=QUARTILE(Data!M$4:M$153,3),3,4)))</f>
        <v>3</v>
      </c>
      <c r="N102" s="8">
        <f>IF(Data!N102&lt;=QUARTILE(Data!N$4:N$153,1),1,IF(Data!N102&lt;=MEDIAN(Data!N$4:N$153),2,IF(Data!N102&lt;=QUARTILE(Data!N$4:N$153,3),3,4)))</f>
        <v>3</v>
      </c>
      <c r="O102" s="8">
        <f>IF(Data!O102&lt;=QUARTILE(Data!O$4:O$153,1),1,IF(Data!O102&lt;=MEDIAN(Data!O$4:O$153),2,IF(Data!O102&lt;=QUARTILE(Data!O$4:O$153,3),3,4)))</f>
        <v>2</v>
      </c>
      <c r="P102" s="8">
        <f>IF(Data!P102&lt;=QUARTILE(Data!P$4:P$153,1),1,IF(Data!P102&lt;=MEDIAN(Data!P$4:P$153),2,IF(Data!P102&lt;=QUARTILE(Data!P$4:P$153,3),3,4)))</f>
        <v>3</v>
      </c>
      <c r="Q102" s="8">
        <f>IF(Data!Q102&lt;=QUARTILE(Data!Q$4:Q$153,1),1,IF(Data!Q102&lt;=MEDIAN(Data!Q$4:Q$153),2,IF(Data!Q102&lt;=QUARTILE(Data!Q$4:Q$153,3),3,4)))</f>
        <v>2</v>
      </c>
      <c r="R102" s="8">
        <f>IF(Data!R102&lt;=QUARTILE(Data!R$4:R$153,1),1,IF(Data!R102&lt;=MEDIAN(Data!R$4:R$153),2,IF(Data!R102&lt;=QUARTILE(Data!R$4:R$153,3),3,4)))</f>
        <v>2</v>
      </c>
      <c r="S102" s="8">
        <f>IF(Data!S102&lt;=QUARTILE(Data!S$4:S$153,1),1,IF(Data!S102&lt;=MEDIAN(Data!S$4:S$153),2,IF(Data!S102&lt;=QUARTILE(Data!S$4:S$153,3),3,4)))</f>
        <v>4</v>
      </c>
      <c r="T102" s="9">
        <f>IF(Data!T102&lt;=QUARTILE(Data!T$4:T$153,1),1,IF(Data!T102&lt;=MEDIAN(Data!T$4:T$153),2,IF(Data!T102&lt;=QUARTILE(Data!T$4:T$153,3),3,4)))</f>
        <v>3</v>
      </c>
      <c r="U102" s="7">
        <f>IF(Data!U102&lt;=QUARTILE(Data!U$4:U$153,1),1,IF(Data!U102&lt;=MEDIAN(Data!U$4:U$153),2,IF(Data!U102&lt;=QUARTILE(Data!U$4:U$153,3),3,4)))</f>
        <v>3</v>
      </c>
      <c r="V102" s="8">
        <f>IF(Data!V102&lt;=QUARTILE(Data!V$4:V$153,1),1,IF(Data!V102&lt;=MEDIAN(Data!V$4:V$153),2,IF(Data!V102&lt;=QUARTILE(Data!V$4:V$153,3),3,4)))</f>
        <v>3</v>
      </c>
      <c r="W102" s="8">
        <f>IF(Data!W102&lt;=QUARTILE(Data!W$4:W$153,1),1,IF(Data!W102&lt;=MEDIAN(Data!W$4:W$153),2,IF(Data!W102&lt;=QUARTILE(Data!W$4:W$153,3),3,4)))</f>
        <v>2</v>
      </c>
      <c r="X102" s="8">
        <f>IF(Data!X102&lt;=QUARTILE(Data!X$4:X$153,1),1,IF(Data!X102&lt;=MEDIAN(Data!X$4:X$153),2,IF(Data!X102&lt;=QUARTILE(Data!X$4:X$153,3),3,4)))</f>
        <v>2</v>
      </c>
      <c r="Y102" s="8">
        <f>IF(Data!Y102&lt;=QUARTILE(Data!Y$4:Y$153,1),1,IF(Data!Y102&lt;=MEDIAN(Data!Y$4:Y$153),2,IF(Data!Y102&lt;=QUARTILE(Data!Y$4:Y$153,3),3,4)))</f>
        <v>3</v>
      </c>
      <c r="Z102" s="8">
        <f>IF(Data!Z102&lt;=QUARTILE(Data!Z$4:Z$153,1),1,IF(Data!Z102&lt;=MEDIAN(Data!Z$4:Z$153),2,IF(Data!Z102&lt;=QUARTILE(Data!Z$4:Z$153,3),3,4)))</f>
        <v>3</v>
      </c>
      <c r="AA102" s="8">
        <f>IF(Data!AA102&lt;=QUARTILE(Data!AA$4:AA$153,1),1,IF(Data!AA102&lt;=MEDIAN(Data!AA$4:AA$153),2,IF(Data!AA102&lt;=QUARTILE(Data!AA$4:AA$153,3),3,4)))</f>
        <v>4</v>
      </c>
      <c r="AB102" s="8">
        <f>IF(Data!AB102&lt;=QUARTILE(Data!AB$4:AB$153,1),1,IF(Data!AB102&lt;=MEDIAN(Data!AB$4:AB$153),2,IF(Data!AB102&lt;=QUARTILE(Data!AB$4:AB$153,3),3,4)))</f>
        <v>4</v>
      </c>
      <c r="AC102" s="8">
        <f>IF(Data!AC102&lt;=QUARTILE(Data!AC$4:AC$153,1),1,IF(Data!AC102&lt;=MEDIAN(Data!AC$4:AC$153),2,IF(Data!AC102&lt;=QUARTILE(Data!AC$4:AC$153,3),3,4)))</f>
        <v>4</v>
      </c>
      <c r="AD102" s="8">
        <f>IF(Data!AD102&lt;=QUARTILE(Data!AD$4:AD$153,1),1,IF(Data!AD102&lt;=MEDIAN(Data!AD$4:AD$153),2,IF(Data!AD102&lt;=QUARTILE(Data!AD$4:AD$153,3),3,4)))</f>
        <v>2</v>
      </c>
      <c r="AE102" s="8">
        <f>IF(Data!AE102&lt;=QUARTILE(Data!AE$4:AE$153,1),1,IF(Data!AE102&lt;=MEDIAN(Data!AE$4:AE$153),2,IF(Data!AE102&lt;=QUARTILE(Data!AE$4:AE$153,3),3,4)))</f>
        <v>3</v>
      </c>
      <c r="AF102" s="8">
        <f>IF(Data!AF102&lt;=QUARTILE(Data!AF$4:AF$153,1),1,IF(Data!AF102&lt;=MEDIAN(Data!AF$4:AF$153),2,IF(Data!AF102&lt;=QUARTILE(Data!AF$4:AF$153,3),3,4)))</f>
        <v>4</v>
      </c>
      <c r="AG102" s="8">
        <f>IF(Data!AG102&lt;=QUARTILE(Data!AG$4:AG$153,1),1,IF(Data!AG102&lt;=MEDIAN(Data!AG$4:AG$153),2,IF(Data!AG102&lt;=QUARTILE(Data!AG$4:AG$153,3),3,4)))</f>
        <v>4</v>
      </c>
      <c r="AH102" s="9">
        <f>IF(Data!AH102&lt;=QUARTILE(Data!AH$4:AH$153,1),1,IF(Data!AH102&lt;=MEDIAN(Data!AH$4:AH$153),2,IF(Data!AH102&lt;=QUARTILE(Data!AH$4:AH$153,3),3,4)))</f>
        <v>3</v>
      </c>
    </row>
    <row r="103" spans="1:34" x14ac:dyDescent="0.25">
      <c r="A103" s="7" t="s">
        <v>65</v>
      </c>
      <c r="B103" s="14" t="s">
        <v>68</v>
      </c>
      <c r="C103" s="7">
        <v>34</v>
      </c>
      <c r="D103" s="8">
        <v>48</v>
      </c>
      <c r="E103" s="42" t="s">
        <v>59</v>
      </c>
      <c r="F103" s="9">
        <v>-1.31</v>
      </c>
      <c r="G103" s="7">
        <f>IF(Data!G103&lt;=QUARTILE(Data!G$4:G$153,1),1,IF(Data!G103&lt;=MEDIAN(Data!G$4:G$153),2,IF(Data!G103&lt;=QUARTILE(Data!G$4:G$153,3),3,4)))</f>
        <v>1</v>
      </c>
      <c r="H103" s="8">
        <f>IF(Data!H103&lt;=QUARTILE(Data!H$4:H$153,1),1,IF(Data!H103&lt;=MEDIAN(Data!H$4:H$153),2,IF(Data!H103&lt;=QUARTILE(Data!H$4:H$153,3),3,4)))</f>
        <v>1</v>
      </c>
      <c r="I103" s="8">
        <f>IF(Data!I103&lt;=QUARTILE(Data!I$4:I$153,1),1,IF(Data!I103&lt;=MEDIAN(Data!I$4:I$153),2,IF(Data!I103&lt;=QUARTILE(Data!I$4:I$153,3),3,4)))</f>
        <v>2</v>
      </c>
      <c r="J103" s="8">
        <f>IF(Data!J103&lt;=QUARTILE(Data!J$4:J$153,1),1,IF(Data!J103&lt;=MEDIAN(Data!J$4:J$153),2,IF(Data!J103&lt;=QUARTILE(Data!J$4:J$153,3),3,4)))</f>
        <v>3</v>
      </c>
      <c r="K103" s="8">
        <f>IF(Data!K103&lt;=QUARTILE(Data!K$4:K$153,1),1,IF(Data!K103&lt;=MEDIAN(Data!K$4:K$153),2,IF(Data!K103&lt;=QUARTILE(Data!K$4:K$153,3),3,4)))</f>
        <v>2</v>
      </c>
      <c r="L103" s="8">
        <f>IF(Data!L103&lt;=QUARTILE(Data!L$4:L$153,1),1,IF(Data!L103&lt;=MEDIAN(Data!L$4:L$153),2,IF(Data!L103&lt;=QUARTILE(Data!L$4:L$153,3),3,4)))</f>
        <v>2</v>
      </c>
      <c r="M103" s="8">
        <f>IF(Data!M103&lt;=QUARTILE(Data!M$4:M$153,1),1,IF(Data!M103&lt;=MEDIAN(Data!M$4:M$153),2,IF(Data!M103&lt;=QUARTILE(Data!M$4:M$153,3),3,4)))</f>
        <v>1</v>
      </c>
      <c r="N103" s="8">
        <f>IF(Data!N103&lt;=QUARTILE(Data!N$4:N$153,1),1,IF(Data!N103&lt;=MEDIAN(Data!N$4:N$153),2,IF(Data!N103&lt;=QUARTILE(Data!N$4:N$153,3),3,4)))</f>
        <v>4</v>
      </c>
      <c r="O103" s="8">
        <f>IF(Data!O103&lt;=QUARTILE(Data!O$4:O$153,1),1,IF(Data!O103&lt;=MEDIAN(Data!O$4:O$153),2,IF(Data!O103&lt;=QUARTILE(Data!O$4:O$153,3),3,4)))</f>
        <v>1</v>
      </c>
      <c r="P103" s="8">
        <f>IF(Data!P103&lt;=QUARTILE(Data!P$4:P$153,1),1,IF(Data!P103&lt;=MEDIAN(Data!P$4:P$153),2,IF(Data!P103&lt;=QUARTILE(Data!P$4:P$153,3),3,4)))</f>
        <v>2</v>
      </c>
      <c r="Q103" s="8">
        <f>IF(Data!Q103&lt;=QUARTILE(Data!Q$4:Q$153,1),1,IF(Data!Q103&lt;=MEDIAN(Data!Q$4:Q$153),2,IF(Data!Q103&lt;=QUARTILE(Data!Q$4:Q$153,3),3,4)))</f>
        <v>1</v>
      </c>
      <c r="R103" s="8">
        <f>IF(Data!R103&lt;=QUARTILE(Data!R$4:R$153,1),1,IF(Data!R103&lt;=MEDIAN(Data!R$4:R$153),2,IF(Data!R103&lt;=QUARTILE(Data!R$4:R$153,3),3,4)))</f>
        <v>3</v>
      </c>
      <c r="S103" s="8">
        <f>IF(Data!S103&lt;=QUARTILE(Data!S$4:S$153,1),1,IF(Data!S103&lt;=MEDIAN(Data!S$4:S$153),2,IF(Data!S103&lt;=QUARTILE(Data!S$4:S$153,3),3,4)))</f>
        <v>3</v>
      </c>
      <c r="T103" s="9">
        <f>IF(Data!T103&lt;=QUARTILE(Data!T$4:T$153,1),1,IF(Data!T103&lt;=MEDIAN(Data!T$4:T$153),2,IF(Data!T103&lt;=QUARTILE(Data!T$4:T$153,3),3,4)))</f>
        <v>1</v>
      </c>
      <c r="U103" s="7">
        <f>IF(Data!U103&lt;=QUARTILE(Data!U$4:U$153,1),1,IF(Data!U103&lt;=MEDIAN(Data!U$4:U$153),2,IF(Data!U103&lt;=QUARTILE(Data!U$4:U$153,3),3,4)))</f>
        <v>1</v>
      </c>
      <c r="V103" s="8">
        <f>IF(Data!V103&lt;=QUARTILE(Data!V$4:V$153,1),1,IF(Data!V103&lt;=MEDIAN(Data!V$4:V$153),2,IF(Data!V103&lt;=QUARTILE(Data!V$4:V$153,3),3,4)))</f>
        <v>1</v>
      </c>
      <c r="W103" s="8">
        <f>IF(Data!W103&lt;=QUARTILE(Data!W$4:W$153,1),1,IF(Data!W103&lt;=MEDIAN(Data!W$4:W$153),2,IF(Data!W103&lt;=QUARTILE(Data!W$4:W$153,3),3,4)))</f>
        <v>3</v>
      </c>
      <c r="X103" s="8">
        <f>IF(Data!X103&lt;=QUARTILE(Data!X$4:X$153,1),1,IF(Data!X103&lt;=MEDIAN(Data!X$4:X$153),2,IF(Data!X103&lt;=QUARTILE(Data!X$4:X$153,3),3,4)))</f>
        <v>3</v>
      </c>
      <c r="Y103" s="8">
        <f>IF(Data!Y103&lt;=QUARTILE(Data!Y$4:Y$153,1),1,IF(Data!Y103&lt;=MEDIAN(Data!Y$4:Y$153),2,IF(Data!Y103&lt;=QUARTILE(Data!Y$4:Y$153,3),3,4)))</f>
        <v>2</v>
      </c>
      <c r="Z103" s="8">
        <f>IF(Data!Z103&lt;=QUARTILE(Data!Z$4:Z$153,1),1,IF(Data!Z103&lt;=MEDIAN(Data!Z$4:Z$153),2,IF(Data!Z103&lt;=QUARTILE(Data!Z$4:Z$153,3),3,4)))</f>
        <v>3</v>
      </c>
      <c r="AA103" s="8">
        <f>IF(Data!AA103&lt;=QUARTILE(Data!AA$4:AA$153,1),1,IF(Data!AA103&lt;=MEDIAN(Data!AA$4:AA$153),2,IF(Data!AA103&lt;=QUARTILE(Data!AA$4:AA$153,3),3,4)))</f>
        <v>2</v>
      </c>
      <c r="AB103" s="8">
        <f>IF(Data!AB103&lt;=QUARTILE(Data!AB$4:AB$153,1),1,IF(Data!AB103&lt;=MEDIAN(Data!AB$4:AB$153),2,IF(Data!AB103&lt;=QUARTILE(Data!AB$4:AB$153,3),3,4)))</f>
        <v>3</v>
      </c>
      <c r="AC103" s="8">
        <f>IF(Data!AC103&lt;=QUARTILE(Data!AC$4:AC$153,1),1,IF(Data!AC103&lt;=MEDIAN(Data!AC$4:AC$153),2,IF(Data!AC103&lt;=QUARTILE(Data!AC$4:AC$153,3),3,4)))</f>
        <v>2</v>
      </c>
      <c r="AD103" s="8">
        <f>IF(Data!AD103&lt;=QUARTILE(Data!AD$4:AD$153,1),1,IF(Data!AD103&lt;=MEDIAN(Data!AD$4:AD$153),2,IF(Data!AD103&lt;=QUARTILE(Data!AD$4:AD$153,3),3,4)))</f>
        <v>2</v>
      </c>
      <c r="AE103" s="8">
        <f>IF(Data!AE103&lt;=QUARTILE(Data!AE$4:AE$153,1),1,IF(Data!AE103&lt;=MEDIAN(Data!AE$4:AE$153),2,IF(Data!AE103&lt;=QUARTILE(Data!AE$4:AE$153,3),3,4)))</f>
        <v>2</v>
      </c>
      <c r="AF103" s="8">
        <f>IF(Data!AF103&lt;=QUARTILE(Data!AF$4:AF$153,1),1,IF(Data!AF103&lt;=MEDIAN(Data!AF$4:AF$153),2,IF(Data!AF103&lt;=QUARTILE(Data!AF$4:AF$153,3),3,4)))</f>
        <v>1</v>
      </c>
      <c r="AG103" s="8">
        <f>IF(Data!AG103&lt;=QUARTILE(Data!AG$4:AG$153,1),1,IF(Data!AG103&lt;=MEDIAN(Data!AG$4:AG$153),2,IF(Data!AG103&lt;=QUARTILE(Data!AG$4:AG$153,3),3,4)))</f>
        <v>2</v>
      </c>
      <c r="AH103" s="9">
        <f>IF(Data!AH103&lt;=QUARTILE(Data!AH$4:AH$153,1),1,IF(Data!AH103&lt;=MEDIAN(Data!AH$4:AH$153),2,IF(Data!AH103&lt;=QUARTILE(Data!AH$4:AH$153,3),3,4)))</f>
        <v>1</v>
      </c>
    </row>
    <row r="104" spans="1:34" x14ac:dyDescent="0.25">
      <c r="A104" s="7" t="s">
        <v>19</v>
      </c>
      <c r="B104" s="14" t="s">
        <v>68</v>
      </c>
      <c r="C104" s="7">
        <v>41</v>
      </c>
      <c r="D104" s="8">
        <v>41</v>
      </c>
      <c r="E104" s="42" t="s">
        <v>58</v>
      </c>
      <c r="F104" s="9">
        <v>1.62</v>
      </c>
      <c r="G104" s="7">
        <f>IF(Data!G104&lt;=QUARTILE(Data!G$4:G$153,1),1,IF(Data!G104&lt;=MEDIAN(Data!G$4:G$153),2,IF(Data!G104&lt;=QUARTILE(Data!G$4:G$153,3),3,4)))</f>
        <v>1</v>
      </c>
      <c r="H104" s="8">
        <f>IF(Data!H104&lt;=QUARTILE(Data!H$4:H$153,1),1,IF(Data!H104&lt;=MEDIAN(Data!H$4:H$153),2,IF(Data!H104&lt;=QUARTILE(Data!H$4:H$153,3),3,4)))</f>
        <v>1</v>
      </c>
      <c r="I104" s="8">
        <f>IF(Data!I104&lt;=QUARTILE(Data!I$4:I$153,1),1,IF(Data!I104&lt;=MEDIAN(Data!I$4:I$153),2,IF(Data!I104&lt;=QUARTILE(Data!I$4:I$153,3),3,4)))</f>
        <v>3</v>
      </c>
      <c r="J104" s="8">
        <f>IF(Data!J104&lt;=QUARTILE(Data!J$4:J$153,1),1,IF(Data!J104&lt;=MEDIAN(Data!J$4:J$153),2,IF(Data!J104&lt;=QUARTILE(Data!J$4:J$153,3),3,4)))</f>
        <v>3</v>
      </c>
      <c r="K104" s="8">
        <f>IF(Data!K104&lt;=QUARTILE(Data!K$4:K$153,1),1,IF(Data!K104&lt;=MEDIAN(Data!K$4:K$153),2,IF(Data!K104&lt;=QUARTILE(Data!K$4:K$153,3),3,4)))</f>
        <v>3</v>
      </c>
      <c r="L104" s="8">
        <f>IF(Data!L104&lt;=QUARTILE(Data!L$4:L$153,1),1,IF(Data!L104&lt;=MEDIAN(Data!L$4:L$153),2,IF(Data!L104&lt;=QUARTILE(Data!L$4:L$153,3),3,4)))</f>
        <v>3</v>
      </c>
      <c r="M104" s="8">
        <f>IF(Data!M104&lt;=QUARTILE(Data!M$4:M$153,1),1,IF(Data!M104&lt;=MEDIAN(Data!M$4:M$153),2,IF(Data!M104&lt;=QUARTILE(Data!M$4:M$153,3),3,4)))</f>
        <v>2</v>
      </c>
      <c r="N104" s="8">
        <f>IF(Data!N104&lt;=QUARTILE(Data!N$4:N$153,1),1,IF(Data!N104&lt;=MEDIAN(Data!N$4:N$153),2,IF(Data!N104&lt;=QUARTILE(Data!N$4:N$153,3),3,4)))</f>
        <v>4</v>
      </c>
      <c r="O104" s="8">
        <f>IF(Data!O104&lt;=QUARTILE(Data!O$4:O$153,1),1,IF(Data!O104&lt;=MEDIAN(Data!O$4:O$153),2,IF(Data!O104&lt;=QUARTILE(Data!O$4:O$153,3),3,4)))</f>
        <v>1</v>
      </c>
      <c r="P104" s="8">
        <f>IF(Data!P104&lt;=QUARTILE(Data!P$4:P$153,1),1,IF(Data!P104&lt;=MEDIAN(Data!P$4:P$153),2,IF(Data!P104&lt;=QUARTILE(Data!P$4:P$153,3),3,4)))</f>
        <v>3</v>
      </c>
      <c r="Q104" s="8">
        <f>IF(Data!Q104&lt;=QUARTILE(Data!Q$4:Q$153,1),1,IF(Data!Q104&lt;=MEDIAN(Data!Q$4:Q$153),2,IF(Data!Q104&lt;=QUARTILE(Data!Q$4:Q$153,3),3,4)))</f>
        <v>3</v>
      </c>
      <c r="R104" s="8">
        <f>IF(Data!R104&lt;=QUARTILE(Data!R$4:R$153,1),1,IF(Data!R104&lt;=MEDIAN(Data!R$4:R$153),2,IF(Data!R104&lt;=QUARTILE(Data!R$4:R$153,3),3,4)))</f>
        <v>4</v>
      </c>
      <c r="S104" s="8">
        <f>IF(Data!S104&lt;=QUARTILE(Data!S$4:S$153,1),1,IF(Data!S104&lt;=MEDIAN(Data!S$4:S$153),2,IF(Data!S104&lt;=QUARTILE(Data!S$4:S$153,3),3,4)))</f>
        <v>3</v>
      </c>
      <c r="T104" s="9">
        <f>IF(Data!T104&lt;=QUARTILE(Data!T$4:T$153,1),1,IF(Data!T104&lt;=MEDIAN(Data!T$4:T$153),2,IF(Data!T104&lt;=QUARTILE(Data!T$4:T$153,3),3,4)))</f>
        <v>1</v>
      </c>
      <c r="U104" s="7">
        <f>IF(Data!U104&lt;=QUARTILE(Data!U$4:U$153,1),1,IF(Data!U104&lt;=MEDIAN(Data!U$4:U$153),2,IF(Data!U104&lt;=QUARTILE(Data!U$4:U$153,3),3,4)))</f>
        <v>1</v>
      </c>
      <c r="V104" s="8">
        <f>IF(Data!V104&lt;=QUARTILE(Data!V$4:V$153,1),1,IF(Data!V104&lt;=MEDIAN(Data!V$4:V$153),2,IF(Data!V104&lt;=QUARTILE(Data!V$4:V$153,3),3,4)))</f>
        <v>2</v>
      </c>
      <c r="W104" s="8">
        <f>IF(Data!W104&lt;=QUARTILE(Data!W$4:W$153,1),1,IF(Data!W104&lt;=MEDIAN(Data!W$4:W$153),2,IF(Data!W104&lt;=QUARTILE(Data!W$4:W$153,3),3,4)))</f>
        <v>1</v>
      </c>
      <c r="X104" s="8">
        <f>IF(Data!X104&lt;=QUARTILE(Data!X$4:X$153,1),1,IF(Data!X104&lt;=MEDIAN(Data!X$4:X$153),2,IF(Data!X104&lt;=QUARTILE(Data!X$4:X$153,3),3,4)))</f>
        <v>1</v>
      </c>
      <c r="Y104" s="8">
        <f>IF(Data!Y104&lt;=QUARTILE(Data!Y$4:Y$153,1),1,IF(Data!Y104&lt;=MEDIAN(Data!Y$4:Y$153),2,IF(Data!Y104&lt;=QUARTILE(Data!Y$4:Y$153,3),3,4)))</f>
        <v>2</v>
      </c>
      <c r="Z104" s="8">
        <f>IF(Data!Z104&lt;=QUARTILE(Data!Z$4:Z$153,1),1,IF(Data!Z104&lt;=MEDIAN(Data!Z$4:Z$153),2,IF(Data!Z104&lt;=QUARTILE(Data!Z$4:Z$153,3),3,4)))</f>
        <v>2</v>
      </c>
      <c r="AA104" s="8">
        <f>IF(Data!AA104&lt;=QUARTILE(Data!AA$4:AA$153,1),1,IF(Data!AA104&lt;=MEDIAN(Data!AA$4:AA$153),2,IF(Data!AA104&lt;=QUARTILE(Data!AA$4:AA$153,3),3,4)))</f>
        <v>3</v>
      </c>
      <c r="AB104" s="8">
        <f>IF(Data!AB104&lt;=QUARTILE(Data!AB$4:AB$153,1),1,IF(Data!AB104&lt;=MEDIAN(Data!AB$4:AB$153),2,IF(Data!AB104&lt;=QUARTILE(Data!AB$4:AB$153,3),3,4)))</f>
        <v>2</v>
      </c>
      <c r="AC104" s="8">
        <f>IF(Data!AC104&lt;=QUARTILE(Data!AC$4:AC$153,1),1,IF(Data!AC104&lt;=MEDIAN(Data!AC$4:AC$153),2,IF(Data!AC104&lt;=QUARTILE(Data!AC$4:AC$153,3),3,4)))</f>
        <v>1</v>
      </c>
      <c r="AD104" s="8">
        <f>IF(Data!AD104&lt;=QUARTILE(Data!AD$4:AD$153,1),1,IF(Data!AD104&lt;=MEDIAN(Data!AD$4:AD$153),2,IF(Data!AD104&lt;=QUARTILE(Data!AD$4:AD$153,3),3,4)))</f>
        <v>4</v>
      </c>
      <c r="AE104" s="8">
        <f>IF(Data!AE104&lt;=QUARTILE(Data!AE$4:AE$153,1),1,IF(Data!AE104&lt;=MEDIAN(Data!AE$4:AE$153),2,IF(Data!AE104&lt;=QUARTILE(Data!AE$4:AE$153,3),3,4)))</f>
        <v>3</v>
      </c>
      <c r="AF104" s="8">
        <f>IF(Data!AF104&lt;=QUARTILE(Data!AF$4:AF$153,1),1,IF(Data!AF104&lt;=MEDIAN(Data!AF$4:AF$153),2,IF(Data!AF104&lt;=QUARTILE(Data!AF$4:AF$153,3),3,4)))</f>
        <v>1</v>
      </c>
      <c r="AG104" s="8">
        <f>IF(Data!AG104&lt;=QUARTILE(Data!AG$4:AG$153,1),1,IF(Data!AG104&lt;=MEDIAN(Data!AG$4:AG$153),2,IF(Data!AG104&lt;=QUARTILE(Data!AG$4:AG$153,3),3,4)))</f>
        <v>3</v>
      </c>
      <c r="AH104" s="9">
        <f>IF(Data!AH104&lt;=QUARTILE(Data!AH$4:AH$153,1),1,IF(Data!AH104&lt;=MEDIAN(Data!AH$4:AH$153),2,IF(Data!AH104&lt;=QUARTILE(Data!AH$4:AH$153,3),3,4)))</f>
        <v>1</v>
      </c>
    </row>
    <row r="105" spans="1:34" x14ac:dyDescent="0.25">
      <c r="A105" s="7" t="s">
        <v>27</v>
      </c>
      <c r="B105" s="14" t="s">
        <v>68</v>
      </c>
      <c r="C105" s="7">
        <v>47</v>
      </c>
      <c r="D105" s="8">
        <v>35</v>
      </c>
      <c r="E105" s="42" t="s">
        <v>58</v>
      </c>
      <c r="F105" s="9">
        <v>1.75</v>
      </c>
      <c r="G105" s="7">
        <f>IF(Data!G105&lt;=QUARTILE(Data!G$4:G$153,1),1,IF(Data!G105&lt;=MEDIAN(Data!G$4:G$153),2,IF(Data!G105&lt;=QUARTILE(Data!G$4:G$153,3),3,4)))</f>
        <v>3</v>
      </c>
      <c r="H105" s="8">
        <f>IF(Data!H105&lt;=QUARTILE(Data!H$4:H$153,1),1,IF(Data!H105&lt;=MEDIAN(Data!H$4:H$153),2,IF(Data!H105&lt;=QUARTILE(Data!H$4:H$153,3),3,4)))</f>
        <v>2</v>
      </c>
      <c r="I105" s="8">
        <f>IF(Data!I105&lt;=QUARTILE(Data!I$4:I$153,1),1,IF(Data!I105&lt;=MEDIAN(Data!I$4:I$153),2,IF(Data!I105&lt;=QUARTILE(Data!I$4:I$153,3),3,4)))</f>
        <v>1</v>
      </c>
      <c r="J105" s="8">
        <f>IF(Data!J105&lt;=QUARTILE(Data!J$4:J$153,1),1,IF(Data!J105&lt;=MEDIAN(Data!J$4:J$153),2,IF(Data!J105&lt;=QUARTILE(Data!J$4:J$153,3),3,4)))</f>
        <v>1</v>
      </c>
      <c r="K105" s="8">
        <f>IF(Data!K105&lt;=QUARTILE(Data!K$4:K$153,1),1,IF(Data!K105&lt;=MEDIAN(Data!K$4:K$153),2,IF(Data!K105&lt;=QUARTILE(Data!K$4:K$153,3),3,4)))</f>
        <v>4</v>
      </c>
      <c r="L105" s="8">
        <f>IF(Data!L105&lt;=QUARTILE(Data!L$4:L$153,1),1,IF(Data!L105&lt;=MEDIAN(Data!L$4:L$153),2,IF(Data!L105&lt;=QUARTILE(Data!L$4:L$153,3),3,4)))</f>
        <v>3</v>
      </c>
      <c r="M105" s="8">
        <f>IF(Data!M105&lt;=QUARTILE(Data!M$4:M$153,1),1,IF(Data!M105&lt;=MEDIAN(Data!M$4:M$153),2,IF(Data!M105&lt;=QUARTILE(Data!M$4:M$153,3),3,4)))</f>
        <v>1</v>
      </c>
      <c r="N105" s="8">
        <f>IF(Data!N105&lt;=QUARTILE(Data!N$4:N$153,1),1,IF(Data!N105&lt;=MEDIAN(Data!N$4:N$153),2,IF(Data!N105&lt;=QUARTILE(Data!N$4:N$153,3),3,4)))</f>
        <v>4</v>
      </c>
      <c r="O105" s="8">
        <f>IF(Data!O105&lt;=QUARTILE(Data!O$4:O$153,1),1,IF(Data!O105&lt;=MEDIAN(Data!O$4:O$153),2,IF(Data!O105&lt;=QUARTILE(Data!O$4:O$153,3),3,4)))</f>
        <v>2</v>
      </c>
      <c r="P105" s="8">
        <f>IF(Data!P105&lt;=QUARTILE(Data!P$4:P$153,1),1,IF(Data!P105&lt;=MEDIAN(Data!P$4:P$153),2,IF(Data!P105&lt;=QUARTILE(Data!P$4:P$153,3),3,4)))</f>
        <v>1</v>
      </c>
      <c r="Q105" s="8">
        <f>IF(Data!Q105&lt;=QUARTILE(Data!Q$4:Q$153,1),1,IF(Data!Q105&lt;=MEDIAN(Data!Q$4:Q$153),2,IF(Data!Q105&lt;=QUARTILE(Data!Q$4:Q$153,3),3,4)))</f>
        <v>4</v>
      </c>
      <c r="R105" s="8">
        <f>IF(Data!R105&lt;=QUARTILE(Data!R$4:R$153,1),1,IF(Data!R105&lt;=MEDIAN(Data!R$4:R$153),2,IF(Data!R105&lt;=QUARTILE(Data!R$4:R$153,3),3,4)))</f>
        <v>2</v>
      </c>
      <c r="S105" s="8">
        <f>IF(Data!S105&lt;=QUARTILE(Data!S$4:S$153,1),1,IF(Data!S105&lt;=MEDIAN(Data!S$4:S$153),2,IF(Data!S105&lt;=QUARTILE(Data!S$4:S$153,3),3,4)))</f>
        <v>3</v>
      </c>
      <c r="T105" s="9">
        <f>IF(Data!T105&lt;=QUARTILE(Data!T$4:T$153,1),1,IF(Data!T105&lt;=MEDIAN(Data!T$4:T$153),2,IF(Data!T105&lt;=QUARTILE(Data!T$4:T$153,3),3,4)))</f>
        <v>2</v>
      </c>
      <c r="U105" s="7">
        <f>IF(Data!U105&lt;=QUARTILE(Data!U$4:U$153,1),1,IF(Data!U105&lt;=MEDIAN(Data!U$4:U$153),2,IF(Data!U105&lt;=QUARTILE(Data!U$4:U$153,3),3,4)))</f>
        <v>2</v>
      </c>
      <c r="V105" s="8">
        <f>IF(Data!V105&lt;=QUARTILE(Data!V$4:V$153,1),1,IF(Data!V105&lt;=MEDIAN(Data!V$4:V$153),2,IF(Data!V105&lt;=QUARTILE(Data!V$4:V$153,3),3,4)))</f>
        <v>3</v>
      </c>
      <c r="W105" s="8">
        <f>IF(Data!W105&lt;=QUARTILE(Data!W$4:W$153,1),1,IF(Data!W105&lt;=MEDIAN(Data!W$4:W$153),2,IF(Data!W105&lt;=QUARTILE(Data!W$4:W$153,3),3,4)))</f>
        <v>2</v>
      </c>
      <c r="X105" s="8">
        <f>IF(Data!X105&lt;=QUARTILE(Data!X$4:X$153,1),1,IF(Data!X105&lt;=MEDIAN(Data!X$4:X$153),2,IF(Data!X105&lt;=QUARTILE(Data!X$4:X$153,3),3,4)))</f>
        <v>2</v>
      </c>
      <c r="Y105" s="8">
        <f>IF(Data!Y105&lt;=QUARTILE(Data!Y$4:Y$153,1),1,IF(Data!Y105&lt;=MEDIAN(Data!Y$4:Y$153),2,IF(Data!Y105&lt;=QUARTILE(Data!Y$4:Y$153,3),3,4)))</f>
        <v>3</v>
      </c>
      <c r="Z105" s="8">
        <f>IF(Data!Z105&lt;=QUARTILE(Data!Z$4:Z$153,1),1,IF(Data!Z105&lt;=MEDIAN(Data!Z$4:Z$153),2,IF(Data!Z105&lt;=QUARTILE(Data!Z$4:Z$153,3),3,4)))</f>
        <v>3</v>
      </c>
      <c r="AA105" s="8">
        <f>IF(Data!AA105&lt;=QUARTILE(Data!AA$4:AA$153,1),1,IF(Data!AA105&lt;=MEDIAN(Data!AA$4:AA$153),2,IF(Data!AA105&lt;=QUARTILE(Data!AA$4:AA$153,3),3,4)))</f>
        <v>1</v>
      </c>
      <c r="AB105" s="8">
        <f>IF(Data!AB105&lt;=QUARTILE(Data!AB$4:AB$153,1),1,IF(Data!AB105&lt;=MEDIAN(Data!AB$4:AB$153),2,IF(Data!AB105&lt;=QUARTILE(Data!AB$4:AB$153,3),3,4)))</f>
        <v>2</v>
      </c>
      <c r="AC105" s="8">
        <f>IF(Data!AC105&lt;=QUARTILE(Data!AC$4:AC$153,1),1,IF(Data!AC105&lt;=MEDIAN(Data!AC$4:AC$153),2,IF(Data!AC105&lt;=QUARTILE(Data!AC$4:AC$153,3),3,4)))</f>
        <v>3</v>
      </c>
      <c r="AD105" s="8">
        <f>IF(Data!AD105&lt;=QUARTILE(Data!AD$4:AD$153,1),1,IF(Data!AD105&lt;=MEDIAN(Data!AD$4:AD$153),2,IF(Data!AD105&lt;=QUARTILE(Data!AD$4:AD$153,3),3,4)))</f>
        <v>2</v>
      </c>
      <c r="AE105" s="8">
        <f>IF(Data!AE105&lt;=QUARTILE(Data!AE$4:AE$153,1),1,IF(Data!AE105&lt;=MEDIAN(Data!AE$4:AE$153),2,IF(Data!AE105&lt;=QUARTILE(Data!AE$4:AE$153,3),3,4)))</f>
        <v>2</v>
      </c>
      <c r="AF105" s="8">
        <f>IF(Data!AF105&lt;=QUARTILE(Data!AF$4:AF$153,1),1,IF(Data!AF105&lt;=MEDIAN(Data!AF$4:AF$153),2,IF(Data!AF105&lt;=QUARTILE(Data!AF$4:AF$153,3),3,4)))</f>
        <v>1</v>
      </c>
      <c r="AG105" s="8">
        <f>IF(Data!AG105&lt;=QUARTILE(Data!AG$4:AG$153,1),1,IF(Data!AG105&lt;=MEDIAN(Data!AG$4:AG$153),2,IF(Data!AG105&lt;=QUARTILE(Data!AG$4:AG$153,3),3,4)))</f>
        <v>2</v>
      </c>
      <c r="AH105" s="9">
        <f>IF(Data!AH105&lt;=QUARTILE(Data!AH$4:AH$153,1),1,IF(Data!AH105&lt;=MEDIAN(Data!AH$4:AH$153),2,IF(Data!AH105&lt;=QUARTILE(Data!AH$4:AH$153,3),3,4)))</f>
        <v>2</v>
      </c>
    </row>
    <row r="106" spans="1:34" x14ac:dyDescent="0.25">
      <c r="A106" s="7" t="s">
        <v>70</v>
      </c>
      <c r="B106" s="14" t="s">
        <v>68</v>
      </c>
      <c r="C106" s="7">
        <v>45</v>
      </c>
      <c r="D106" s="8">
        <v>37</v>
      </c>
      <c r="E106" s="42" t="s">
        <v>58</v>
      </c>
      <c r="F106" s="9">
        <v>2.5299999999999998</v>
      </c>
      <c r="G106" s="7">
        <f>IF(Data!G106&lt;=QUARTILE(Data!G$4:G$153,1),1,IF(Data!G106&lt;=MEDIAN(Data!G$4:G$153),2,IF(Data!G106&lt;=QUARTILE(Data!G$4:G$153,3),3,4)))</f>
        <v>3</v>
      </c>
      <c r="H106" s="8">
        <f>IF(Data!H106&lt;=QUARTILE(Data!H$4:H$153,1),1,IF(Data!H106&lt;=MEDIAN(Data!H$4:H$153),2,IF(Data!H106&lt;=QUARTILE(Data!H$4:H$153,3),3,4)))</f>
        <v>3</v>
      </c>
      <c r="I106" s="8">
        <f>IF(Data!I106&lt;=QUARTILE(Data!I$4:I$153,1),1,IF(Data!I106&lt;=MEDIAN(Data!I$4:I$153),2,IF(Data!I106&lt;=QUARTILE(Data!I$4:I$153,3),3,4)))</f>
        <v>3</v>
      </c>
      <c r="J106" s="8">
        <f>IF(Data!J106&lt;=QUARTILE(Data!J$4:J$153,1),1,IF(Data!J106&lt;=MEDIAN(Data!J$4:J$153),2,IF(Data!J106&lt;=QUARTILE(Data!J$4:J$153,3),3,4)))</f>
        <v>4</v>
      </c>
      <c r="K106" s="8">
        <f>IF(Data!K106&lt;=QUARTILE(Data!K$4:K$153,1),1,IF(Data!K106&lt;=MEDIAN(Data!K$4:K$153),2,IF(Data!K106&lt;=QUARTILE(Data!K$4:K$153,3),3,4)))</f>
        <v>3</v>
      </c>
      <c r="L106" s="8">
        <f>IF(Data!L106&lt;=QUARTILE(Data!L$4:L$153,1),1,IF(Data!L106&lt;=MEDIAN(Data!L$4:L$153),2,IF(Data!L106&lt;=QUARTILE(Data!L$4:L$153,3),3,4)))</f>
        <v>3</v>
      </c>
      <c r="M106" s="8">
        <f>IF(Data!M106&lt;=QUARTILE(Data!M$4:M$153,1),1,IF(Data!M106&lt;=MEDIAN(Data!M$4:M$153),2,IF(Data!M106&lt;=QUARTILE(Data!M$4:M$153,3),3,4)))</f>
        <v>3</v>
      </c>
      <c r="N106" s="8">
        <f>IF(Data!N106&lt;=QUARTILE(Data!N$4:N$153,1),1,IF(Data!N106&lt;=MEDIAN(Data!N$4:N$153),2,IF(Data!N106&lt;=QUARTILE(Data!N$4:N$153,3),3,4)))</f>
        <v>3</v>
      </c>
      <c r="O106" s="8">
        <f>IF(Data!O106&lt;=QUARTILE(Data!O$4:O$153,1),1,IF(Data!O106&lt;=MEDIAN(Data!O$4:O$153),2,IF(Data!O106&lt;=QUARTILE(Data!O$4:O$153,3),3,4)))</f>
        <v>3</v>
      </c>
      <c r="P106" s="8">
        <f>IF(Data!P106&lt;=QUARTILE(Data!P$4:P$153,1),1,IF(Data!P106&lt;=MEDIAN(Data!P$4:P$153),2,IF(Data!P106&lt;=QUARTILE(Data!P$4:P$153,3),3,4)))</f>
        <v>3</v>
      </c>
      <c r="Q106" s="8">
        <f>IF(Data!Q106&lt;=QUARTILE(Data!Q$4:Q$153,1),1,IF(Data!Q106&lt;=MEDIAN(Data!Q$4:Q$153),2,IF(Data!Q106&lt;=QUARTILE(Data!Q$4:Q$153,3),3,4)))</f>
        <v>2</v>
      </c>
      <c r="R106" s="8">
        <f>IF(Data!R106&lt;=QUARTILE(Data!R$4:R$153,1),1,IF(Data!R106&lt;=MEDIAN(Data!R$4:R$153),2,IF(Data!R106&lt;=QUARTILE(Data!R$4:R$153,3),3,4)))</f>
        <v>2</v>
      </c>
      <c r="S106" s="8">
        <f>IF(Data!S106&lt;=QUARTILE(Data!S$4:S$153,1),1,IF(Data!S106&lt;=MEDIAN(Data!S$4:S$153),2,IF(Data!S106&lt;=QUARTILE(Data!S$4:S$153,3),3,4)))</f>
        <v>3</v>
      </c>
      <c r="T106" s="9">
        <f>IF(Data!T106&lt;=QUARTILE(Data!T$4:T$153,1),1,IF(Data!T106&lt;=MEDIAN(Data!T$4:T$153),2,IF(Data!T106&lt;=QUARTILE(Data!T$4:T$153,3),3,4)))</f>
        <v>3</v>
      </c>
      <c r="U106" s="7">
        <f>IF(Data!U106&lt;=QUARTILE(Data!U$4:U$153,1),1,IF(Data!U106&lt;=MEDIAN(Data!U$4:U$153),2,IF(Data!U106&lt;=QUARTILE(Data!U$4:U$153,3),3,4)))</f>
        <v>2</v>
      </c>
      <c r="V106" s="8">
        <f>IF(Data!V106&lt;=QUARTILE(Data!V$4:V$153,1),1,IF(Data!V106&lt;=MEDIAN(Data!V$4:V$153),2,IF(Data!V106&lt;=QUARTILE(Data!V$4:V$153,3),3,4)))</f>
        <v>2</v>
      </c>
      <c r="W106" s="8">
        <f>IF(Data!W106&lt;=QUARTILE(Data!W$4:W$153,1),1,IF(Data!W106&lt;=MEDIAN(Data!W$4:W$153),2,IF(Data!W106&lt;=QUARTILE(Data!W$4:W$153,3),3,4)))</f>
        <v>2</v>
      </c>
      <c r="X106" s="8">
        <f>IF(Data!X106&lt;=QUARTILE(Data!X$4:X$153,1),1,IF(Data!X106&lt;=MEDIAN(Data!X$4:X$153),2,IF(Data!X106&lt;=QUARTILE(Data!X$4:X$153,3),3,4)))</f>
        <v>2</v>
      </c>
      <c r="Y106" s="8">
        <f>IF(Data!Y106&lt;=QUARTILE(Data!Y$4:Y$153,1),1,IF(Data!Y106&lt;=MEDIAN(Data!Y$4:Y$153),2,IF(Data!Y106&lt;=QUARTILE(Data!Y$4:Y$153,3),3,4)))</f>
        <v>2</v>
      </c>
      <c r="Z106" s="8">
        <f>IF(Data!Z106&lt;=QUARTILE(Data!Z$4:Z$153,1),1,IF(Data!Z106&lt;=MEDIAN(Data!Z$4:Z$153),2,IF(Data!Z106&lt;=QUARTILE(Data!Z$4:Z$153,3),3,4)))</f>
        <v>3</v>
      </c>
      <c r="AA106" s="8">
        <f>IF(Data!AA106&lt;=QUARTILE(Data!AA$4:AA$153,1),1,IF(Data!AA106&lt;=MEDIAN(Data!AA$4:AA$153),2,IF(Data!AA106&lt;=QUARTILE(Data!AA$4:AA$153,3),3,4)))</f>
        <v>2</v>
      </c>
      <c r="AB106" s="8">
        <f>IF(Data!AB106&lt;=QUARTILE(Data!AB$4:AB$153,1),1,IF(Data!AB106&lt;=MEDIAN(Data!AB$4:AB$153),2,IF(Data!AB106&lt;=QUARTILE(Data!AB$4:AB$153,3),3,4)))</f>
        <v>2</v>
      </c>
      <c r="AC106" s="8">
        <f>IF(Data!AC106&lt;=QUARTILE(Data!AC$4:AC$153,1),1,IF(Data!AC106&lt;=MEDIAN(Data!AC$4:AC$153),2,IF(Data!AC106&lt;=QUARTILE(Data!AC$4:AC$153,3),3,4)))</f>
        <v>2</v>
      </c>
      <c r="AD106" s="8">
        <f>IF(Data!AD106&lt;=QUARTILE(Data!AD$4:AD$153,1),1,IF(Data!AD106&lt;=MEDIAN(Data!AD$4:AD$153),2,IF(Data!AD106&lt;=QUARTILE(Data!AD$4:AD$153,3),3,4)))</f>
        <v>1</v>
      </c>
      <c r="AE106" s="8">
        <f>IF(Data!AE106&lt;=QUARTILE(Data!AE$4:AE$153,1),1,IF(Data!AE106&lt;=MEDIAN(Data!AE$4:AE$153),2,IF(Data!AE106&lt;=QUARTILE(Data!AE$4:AE$153,3),3,4)))</f>
        <v>1</v>
      </c>
      <c r="AF106" s="8">
        <f>IF(Data!AF106&lt;=QUARTILE(Data!AF$4:AF$153,1),1,IF(Data!AF106&lt;=MEDIAN(Data!AF$4:AF$153),2,IF(Data!AF106&lt;=QUARTILE(Data!AF$4:AF$153,3),3,4)))</f>
        <v>2</v>
      </c>
      <c r="AG106" s="8">
        <f>IF(Data!AG106&lt;=QUARTILE(Data!AG$4:AG$153,1),1,IF(Data!AG106&lt;=MEDIAN(Data!AG$4:AG$153),2,IF(Data!AG106&lt;=QUARTILE(Data!AG$4:AG$153,3),3,4)))</f>
        <v>4</v>
      </c>
      <c r="AH106" s="9">
        <f>IF(Data!AH106&lt;=QUARTILE(Data!AH$4:AH$153,1),1,IF(Data!AH106&lt;=MEDIAN(Data!AH$4:AH$153),2,IF(Data!AH106&lt;=QUARTILE(Data!AH$4:AH$153,3),3,4)))</f>
        <v>2</v>
      </c>
    </row>
    <row r="107" spans="1:34" x14ac:dyDescent="0.25">
      <c r="A107" s="7" t="s">
        <v>28</v>
      </c>
      <c r="B107" s="14" t="s">
        <v>68</v>
      </c>
      <c r="C107" s="7">
        <v>49</v>
      </c>
      <c r="D107" s="8">
        <v>33</v>
      </c>
      <c r="E107" s="42" t="s">
        <v>58</v>
      </c>
      <c r="F107" s="9">
        <v>3.74</v>
      </c>
      <c r="G107" s="7">
        <f>IF(Data!G107&lt;=QUARTILE(Data!G$4:G$153,1),1,IF(Data!G107&lt;=MEDIAN(Data!G$4:G$153),2,IF(Data!G107&lt;=QUARTILE(Data!G$4:G$153,3),3,4)))</f>
        <v>1</v>
      </c>
      <c r="H107" s="8">
        <f>IF(Data!H107&lt;=QUARTILE(Data!H$4:H$153,1),1,IF(Data!H107&lt;=MEDIAN(Data!H$4:H$153),2,IF(Data!H107&lt;=QUARTILE(Data!H$4:H$153,3),3,4)))</f>
        <v>1</v>
      </c>
      <c r="I107" s="8">
        <f>IF(Data!I107&lt;=QUARTILE(Data!I$4:I$153,1),1,IF(Data!I107&lt;=MEDIAN(Data!I$4:I$153),2,IF(Data!I107&lt;=QUARTILE(Data!I$4:I$153,3),3,4)))</f>
        <v>4</v>
      </c>
      <c r="J107" s="8">
        <f>IF(Data!J107&lt;=QUARTILE(Data!J$4:J$153,1),1,IF(Data!J107&lt;=MEDIAN(Data!J$4:J$153),2,IF(Data!J107&lt;=QUARTILE(Data!J$4:J$153,3),3,4)))</f>
        <v>3</v>
      </c>
      <c r="K107" s="8">
        <f>IF(Data!K107&lt;=QUARTILE(Data!K$4:K$153,1),1,IF(Data!K107&lt;=MEDIAN(Data!K$4:K$153),2,IF(Data!K107&lt;=QUARTILE(Data!K$4:K$153,3),3,4)))</f>
        <v>1</v>
      </c>
      <c r="L107" s="8">
        <f>IF(Data!L107&lt;=QUARTILE(Data!L$4:L$153,1),1,IF(Data!L107&lt;=MEDIAN(Data!L$4:L$153),2,IF(Data!L107&lt;=QUARTILE(Data!L$4:L$153,3),3,4)))</f>
        <v>2</v>
      </c>
      <c r="M107" s="8">
        <f>IF(Data!M107&lt;=QUARTILE(Data!M$4:M$153,1),1,IF(Data!M107&lt;=MEDIAN(Data!M$4:M$153),2,IF(Data!M107&lt;=QUARTILE(Data!M$4:M$153,3),3,4)))</f>
        <v>1</v>
      </c>
      <c r="N107" s="8">
        <f>IF(Data!N107&lt;=QUARTILE(Data!N$4:N$153,1),1,IF(Data!N107&lt;=MEDIAN(Data!N$4:N$153),2,IF(Data!N107&lt;=QUARTILE(Data!N$4:N$153,3),3,4)))</f>
        <v>1</v>
      </c>
      <c r="O107" s="8">
        <f>IF(Data!O107&lt;=QUARTILE(Data!O$4:O$153,1),1,IF(Data!O107&lt;=MEDIAN(Data!O$4:O$153),2,IF(Data!O107&lt;=QUARTILE(Data!O$4:O$153,3),3,4)))</f>
        <v>1</v>
      </c>
      <c r="P107" s="8">
        <f>IF(Data!P107&lt;=QUARTILE(Data!P$4:P$153,1),1,IF(Data!P107&lt;=MEDIAN(Data!P$4:P$153),2,IF(Data!P107&lt;=QUARTILE(Data!P$4:P$153,3),3,4)))</f>
        <v>3</v>
      </c>
      <c r="Q107" s="8">
        <f>IF(Data!Q107&lt;=QUARTILE(Data!Q$4:Q$153,1),1,IF(Data!Q107&lt;=MEDIAN(Data!Q$4:Q$153),2,IF(Data!Q107&lt;=QUARTILE(Data!Q$4:Q$153,3),3,4)))</f>
        <v>4</v>
      </c>
      <c r="R107" s="8">
        <f>IF(Data!R107&lt;=QUARTILE(Data!R$4:R$153,1),1,IF(Data!R107&lt;=MEDIAN(Data!R$4:R$153),2,IF(Data!R107&lt;=QUARTILE(Data!R$4:R$153,3),3,4)))</f>
        <v>2</v>
      </c>
      <c r="S107" s="8">
        <f>IF(Data!S107&lt;=QUARTILE(Data!S$4:S$153,1),1,IF(Data!S107&lt;=MEDIAN(Data!S$4:S$153),2,IF(Data!S107&lt;=QUARTILE(Data!S$4:S$153,3),3,4)))</f>
        <v>2</v>
      </c>
      <c r="T107" s="9">
        <f>IF(Data!T107&lt;=QUARTILE(Data!T$4:T$153,1),1,IF(Data!T107&lt;=MEDIAN(Data!T$4:T$153),2,IF(Data!T107&lt;=QUARTILE(Data!T$4:T$153,3),3,4)))</f>
        <v>1</v>
      </c>
      <c r="U107" s="7">
        <f>IF(Data!U107&lt;=QUARTILE(Data!U$4:U$153,1),1,IF(Data!U107&lt;=MEDIAN(Data!U$4:U$153),2,IF(Data!U107&lt;=QUARTILE(Data!U$4:U$153,3),3,4)))</f>
        <v>1</v>
      </c>
      <c r="V107" s="8">
        <f>IF(Data!V107&lt;=QUARTILE(Data!V$4:V$153,1),1,IF(Data!V107&lt;=MEDIAN(Data!V$4:V$153),2,IF(Data!V107&lt;=QUARTILE(Data!V$4:V$153,3),3,4)))</f>
        <v>1</v>
      </c>
      <c r="W107" s="8">
        <f>IF(Data!W107&lt;=QUARTILE(Data!W$4:W$153,1),1,IF(Data!W107&lt;=MEDIAN(Data!W$4:W$153),2,IF(Data!W107&lt;=QUARTILE(Data!W$4:W$153,3),3,4)))</f>
        <v>1</v>
      </c>
      <c r="X107" s="8">
        <f>IF(Data!X107&lt;=QUARTILE(Data!X$4:X$153,1),1,IF(Data!X107&lt;=MEDIAN(Data!X$4:X$153),2,IF(Data!X107&lt;=QUARTILE(Data!X$4:X$153,3),3,4)))</f>
        <v>1</v>
      </c>
      <c r="Y107" s="8">
        <f>IF(Data!Y107&lt;=QUARTILE(Data!Y$4:Y$153,1),1,IF(Data!Y107&lt;=MEDIAN(Data!Y$4:Y$153),2,IF(Data!Y107&lt;=QUARTILE(Data!Y$4:Y$153,3),3,4)))</f>
        <v>1</v>
      </c>
      <c r="Z107" s="8">
        <f>IF(Data!Z107&lt;=QUARTILE(Data!Z$4:Z$153,1),1,IF(Data!Z107&lt;=MEDIAN(Data!Z$4:Z$153),2,IF(Data!Z107&lt;=QUARTILE(Data!Z$4:Z$153,3),3,4)))</f>
        <v>1</v>
      </c>
      <c r="AA107" s="8">
        <f>IF(Data!AA107&lt;=QUARTILE(Data!AA$4:AA$153,1),1,IF(Data!AA107&lt;=MEDIAN(Data!AA$4:AA$153),2,IF(Data!AA107&lt;=QUARTILE(Data!AA$4:AA$153,3),3,4)))</f>
        <v>3</v>
      </c>
      <c r="AB107" s="8">
        <f>IF(Data!AB107&lt;=QUARTILE(Data!AB$4:AB$153,1),1,IF(Data!AB107&lt;=MEDIAN(Data!AB$4:AB$153),2,IF(Data!AB107&lt;=QUARTILE(Data!AB$4:AB$153,3),3,4)))</f>
        <v>2</v>
      </c>
      <c r="AC107" s="8">
        <f>IF(Data!AC107&lt;=QUARTILE(Data!AC$4:AC$153,1),1,IF(Data!AC107&lt;=MEDIAN(Data!AC$4:AC$153),2,IF(Data!AC107&lt;=QUARTILE(Data!AC$4:AC$153,3),3,4)))</f>
        <v>1</v>
      </c>
      <c r="AD107" s="8">
        <f>IF(Data!AD107&lt;=QUARTILE(Data!AD$4:AD$153,1),1,IF(Data!AD107&lt;=MEDIAN(Data!AD$4:AD$153),2,IF(Data!AD107&lt;=QUARTILE(Data!AD$4:AD$153,3),3,4)))</f>
        <v>2</v>
      </c>
      <c r="AE107" s="8">
        <f>IF(Data!AE107&lt;=QUARTILE(Data!AE$4:AE$153,1),1,IF(Data!AE107&lt;=MEDIAN(Data!AE$4:AE$153),2,IF(Data!AE107&lt;=QUARTILE(Data!AE$4:AE$153,3),3,4)))</f>
        <v>4</v>
      </c>
      <c r="AF107" s="8">
        <f>IF(Data!AF107&lt;=QUARTILE(Data!AF$4:AF$153,1),1,IF(Data!AF107&lt;=MEDIAN(Data!AF$4:AF$153),2,IF(Data!AF107&lt;=QUARTILE(Data!AF$4:AF$153,3),3,4)))</f>
        <v>3</v>
      </c>
      <c r="AG107" s="8">
        <f>IF(Data!AG107&lt;=QUARTILE(Data!AG$4:AG$153,1),1,IF(Data!AG107&lt;=MEDIAN(Data!AG$4:AG$153),2,IF(Data!AG107&lt;=QUARTILE(Data!AG$4:AG$153,3),3,4)))</f>
        <v>3</v>
      </c>
      <c r="AH107" s="9">
        <f>IF(Data!AH107&lt;=QUARTILE(Data!AH$4:AH$153,1),1,IF(Data!AH107&lt;=MEDIAN(Data!AH$4:AH$153),2,IF(Data!AH107&lt;=QUARTILE(Data!AH$4:AH$153,3),3,4)))</f>
        <v>1</v>
      </c>
    </row>
    <row r="108" spans="1:34" x14ac:dyDescent="0.25">
      <c r="A108" s="7" t="s">
        <v>54</v>
      </c>
      <c r="B108" s="14" t="s">
        <v>68</v>
      </c>
      <c r="C108" s="7">
        <v>52</v>
      </c>
      <c r="D108" s="8">
        <v>30</v>
      </c>
      <c r="E108" s="42" t="s">
        <v>58</v>
      </c>
      <c r="F108" s="9">
        <v>3.59</v>
      </c>
      <c r="G108" s="7">
        <f>IF(Data!G108&lt;=QUARTILE(Data!G$4:G$153,1),1,IF(Data!G108&lt;=MEDIAN(Data!G$4:G$153),2,IF(Data!G108&lt;=QUARTILE(Data!G$4:G$153,3),3,4)))</f>
        <v>3</v>
      </c>
      <c r="H108" s="8">
        <f>IF(Data!H108&lt;=QUARTILE(Data!H$4:H$153,1),1,IF(Data!H108&lt;=MEDIAN(Data!H$4:H$153),2,IF(Data!H108&lt;=QUARTILE(Data!H$4:H$153,3),3,4)))</f>
        <v>1</v>
      </c>
      <c r="I108" s="8">
        <f>IF(Data!I108&lt;=QUARTILE(Data!I$4:I$153,1),1,IF(Data!I108&lt;=MEDIAN(Data!I$4:I$153),2,IF(Data!I108&lt;=QUARTILE(Data!I$4:I$153,3),3,4)))</f>
        <v>2</v>
      </c>
      <c r="J108" s="8">
        <f>IF(Data!J108&lt;=QUARTILE(Data!J$4:J$153,1),1,IF(Data!J108&lt;=MEDIAN(Data!J$4:J$153),2,IF(Data!J108&lt;=QUARTILE(Data!J$4:J$153,3),3,4)))</f>
        <v>3</v>
      </c>
      <c r="K108" s="8">
        <f>IF(Data!K108&lt;=QUARTILE(Data!K$4:K$153,1),1,IF(Data!K108&lt;=MEDIAN(Data!K$4:K$153),2,IF(Data!K108&lt;=QUARTILE(Data!K$4:K$153,3),3,4)))</f>
        <v>3</v>
      </c>
      <c r="L108" s="8">
        <f>IF(Data!L108&lt;=QUARTILE(Data!L$4:L$153,1),1,IF(Data!L108&lt;=MEDIAN(Data!L$4:L$153),2,IF(Data!L108&lt;=QUARTILE(Data!L$4:L$153,3),3,4)))</f>
        <v>4</v>
      </c>
      <c r="M108" s="8">
        <f>IF(Data!M108&lt;=QUARTILE(Data!M$4:M$153,1),1,IF(Data!M108&lt;=MEDIAN(Data!M$4:M$153),2,IF(Data!M108&lt;=QUARTILE(Data!M$4:M$153,3),3,4)))</f>
        <v>1</v>
      </c>
      <c r="N108" s="8">
        <f>IF(Data!N108&lt;=QUARTILE(Data!N$4:N$153,1),1,IF(Data!N108&lt;=MEDIAN(Data!N$4:N$153),2,IF(Data!N108&lt;=QUARTILE(Data!N$4:N$153,3),3,4)))</f>
        <v>4</v>
      </c>
      <c r="O108" s="8">
        <f>IF(Data!O108&lt;=QUARTILE(Data!O$4:O$153,1),1,IF(Data!O108&lt;=MEDIAN(Data!O$4:O$153),2,IF(Data!O108&lt;=QUARTILE(Data!O$4:O$153,3),3,4)))</f>
        <v>2</v>
      </c>
      <c r="P108" s="8">
        <f>IF(Data!P108&lt;=QUARTILE(Data!P$4:P$153,1),1,IF(Data!P108&lt;=MEDIAN(Data!P$4:P$153),2,IF(Data!P108&lt;=QUARTILE(Data!P$4:P$153,3),3,4)))</f>
        <v>1</v>
      </c>
      <c r="Q108" s="8">
        <f>IF(Data!Q108&lt;=QUARTILE(Data!Q$4:Q$153,1),1,IF(Data!Q108&lt;=MEDIAN(Data!Q$4:Q$153),2,IF(Data!Q108&lt;=QUARTILE(Data!Q$4:Q$153,3),3,4)))</f>
        <v>4</v>
      </c>
      <c r="R108" s="8">
        <f>IF(Data!R108&lt;=QUARTILE(Data!R$4:R$153,1),1,IF(Data!R108&lt;=MEDIAN(Data!R$4:R$153),2,IF(Data!R108&lt;=QUARTILE(Data!R$4:R$153,3),3,4)))</f>
        <v>2</v>
      </c>
      <c r="S108" s="8">
        <f>IF(Data!S108&lt;=QUARTILE(Data!S$4:S$153,1),1,IF(Data!S108&lt;=MEDIAN(Data!S$4:S$153),2,IF(Data!S108&lt;=QUARTILE(Data!S$4:S$153,3),3,4)))</f>
        <v>3</v>
      </c>
      <c r="T108" s="9">
        <f>IF(Data!T108&lt;=QUARTILE(Data!T$4:T$153,1),1,IF(Data!T108&lt;=MEDIAN(Data!T$4:T$153),2,IF(Data!T108&lt;=QUARTILE(Data!T$4:T$153,3),3,4)))</f>
        <v>3</v>
      </c>
      <c r="U108" s="7">
        <f>IF(Data!U108&lt;=QUARTILE(Data!U$4:U$153,1),1,IF(Data!U108&lt;=MEDIAN(Data!U$4:U$153),2,IF(Data!U108&lt;=QUARTILE(Data!U$4:U$153,3),3,4)))</f>
        <v>1</v>
      </c>
      <c r="V108" s="8">
        <f>IF(Data!V108&lt;=QUARTILE(Data!V$4:V$153,1),1,IF(Data!V108&lt;=MEDIAN(Data!V$4:V$153),2,IF(Data!V108&lt;=QUARTILE(Data!V$4:V$153,3),3,4)))</f>
        <v>2</v>
      </c>
      <c r="W108" s="8">
        <f>IF(Data!W108&lt;=QUARTILE(Data!W$4:W$153,1),1,IF(Data!W108&lt;=MEDIAN(Data!W$4:W$153),2,IF(Data!W108&lt;=QUARTILE(Data!W$4:W$153,3),3,4)))</f>
        <v>2</v>
      </c>
      <c r="X108" s="8">
        <f>IF(Data!X108&lt;=QUARTILE(Data!X$4:X$153,1),1,IF(Data!X108&lt;=MEDIAN(Data!X$4:X$153),2,IF(Data!X108&lt;=QUARTILE(Data!X$4:X$153,3),3,4)))</f>
        <v>2</v>
      </c>
      <c r="Y108" s="8">
        <f>IF(Data!Y108&lt;=QUARTILE(Data!Y$4:Y$153,1),1,IF(Data!Y108&lt;=MEDIAN(Data!Y$4:Y$153),2,IF(Data!Y108&lt;=QUARTILE(Data!Y$4:Y$153,3),3,4)))</f>
        <v>3</v>
      </c>
      <c r="Z108" s="8">
        <f>IF(Data!Z108&lt;=QUARTILE(Data!Z$4:Z$153,1),1,IF(Data!Z108&lt;=MEDIAN(Data!Z$4:Z$153),2,IF(Data!Z108&lt;=QUARTILE(Data!Z$4:Z$153,3),3,4)))</f>
        <v>3</v>
      </c>
      <c r="AA108" s="8">
        <f>IF(Data!AA108&lt;=QUARTILE(Data!AA$4:AA$153,1),1,IF(Data!AA108&lt;=MEDIAN(Data!AA$4:AA$153),2,IF(Data!AA108&lt;=QUARTILE(Data!AA$4:AA$153,3),3,4)))</f>
        <v>1</v>
      </c>
      <c r="AB108" s="8">
        <f>IF(Data!AB108&lt;=QUARTILE(Data!AB$4:AB$153,1),1,IF(Data!AB108&lt;=MEDIAN(Data!AB$4:AB$153),2,IF(Data!AB108&lt;=QUARTILE(Data!AB$4:AB$153,3),3,4)))</f>
        <v>1</v>
      </c>
      <c r="AC108" s="8">
        <f>IF(Data!AC108&lt;=QUARTILE(Data!AC$4:AC$153,1),1,IF(Data!AC108&lt;=MEDIAN(Data!AC$4:AC$153),2,IF(Data!AC108&lt;=QUARTILE(Data!AC$4:AC$153,3),3,4)))</f>
        <v>1</v>
      </c>
      <c r="AD108" s="8">
        <f>IF(Data!AD108&lt;=QUARTILE(Data!AD$4:AD$153,1),1,IF(Data!AD108&lt;=MEDIAN(Data!AD$4:AD$153),2,IF(Data!AD108&lt;=QUARTILE(Data!AD$4:AD$153,3),3,4)))</f>
        <v>1</v>
      </c>
      <c r="AE108" s="8">
        <f>IF(Data!AE108&lt;=QUARTILE(Data!AE$4:AE$153,1),1,IF(Data!AE108&lt;=MEDIAN(Data!AE$4:AE$153),2,IF(Data!AE108&lt;=QUARTILE(Data!AE$4:AE$153,3),3,4)))</f>
        <v>1</v>
      </c>
      <c r="AF108" s="8">
        <f>IF(Data!AF108&lt;=QUARTILE(Data!AF$4:AF$153,1),1,IF(Data!AF108&lt;=MEDIAN(Data!AF$4:AF$153),2,IF(Data!AF108&lt;=QUARTILE(Data!AF$4:AF$153,3),3,4)))</f>
        <v>1</v>
      </c>
      <c r="AG108" s="8">
        <f>IF(Data!AG108&lt;=QUARTILE(Data!AG$4:AG$153,1),1,IF(Data!AG108&lt;=MEDIAN(Data!AG$4:AG$153),2,IF(Data!AG108&lt;=QUARTILE(Data!AG$4:AG$153,3),3,4)))</f>
        <v>4</v>
      </c>
      <c r="AH108" s="9">
        <f>IF(Data!AH108&lt;=QUARTILE(Data!AH$4:AH$153,1),1,IF(Data!AH108&lt;=MEDIAN(Data!AH$4:AH$153),2,IF(Data!AH108&lt;=QUARTILE(Data!AH$4:AH$153,3),3,4)))</f>
        <v>2</v>
      </c>
    </row>
    <row r="109" spans="1:34" x14ac:dyDescent="0.25">
      <c r="A109" s="7" t="s">
        <v>21</v>
      </c>
      <c r="B109" s="14" t="s">
        <v>68</v>
      </c>
      <c r="C109" s="7">
        <v>40</v>
      </c>
      <c r="D109" s="8">
        <v>42</v>
      </c>
      <c r="E109" s="42" t="s">
        <v>58</v>
      </c>
      <c r="F109" s="9">
        <v>-1.07</v>
      </c>
      <c r="G109" s="7">
        <f>IF(Data!G109&lt;=QUARTILE(Data!G$4:G$153,1),1,IF(Data!G109&lt;=MEDIAN(Data!G$4:G$153),2,IF(Data!G109&lt;=QUARTILE(Data!G$4:G$153,3),3,4)))</f>
        <v>2</v>
      </c>
      <c r="H109" s="8">
        <f>IF(Data!H109&lt;=QUARTILE(Data!H$4:H$153,1),1,IF(Data!H109&lt;=MEDIAN(Data!H$4:H$153),2,IF(Data!H109&lt;=QUARTILE(Data!H$4:H$153,3),3,4)))</f>
        <v>3</v>
      </c>
      <c r="I109" s="8">
        <f>IF(Data!I109&lt;=QUARTILE(Data!I$4:I$153,1),1,IF(Data!I109&lt;=MEDIAN(Data!I$4:I$153),2,IF(Data!I109&lt;=QUARTILE(Data!I$4:I$153,3),3,4)))</f>
        <v>3</v>
      </c>
      <c r="J109" s="8">
        <f>IF(Data!J109&lt;=QUARTILE(Data!J$4:J$153,1),1,IF(Data!J109&lt;=MEDIAN(Data!J$4:J$153),2,IF(Data!J109&lt;=QUARTILE(Data!J$4:J$153,3),3,4)))</f>
        <v>2</v>
      </c>
      <c r="K109" s="8">
        <f>IF(Data!K109&lt;=QUARTILE(Data!K$4:K$153,1),1,IF(Data!K109&lt;=MEDIAN(Data!K$4:K$153),2,IF(Data!K109&lt;=QUARTILE(Data!K$4:K$153,3),3,4)))</f>
        <v>2</v>
      </c>
      <c r="L109" s="8">
        <f>IF(Data!L109&lt;=QUARTILE(Data!L$4:L$153,1),1,IF(Data!L109&lt;=MEDIAN(Data!L$4:L$153),2,IF(Data!L109&lt;=QUARTILE(Data!L$4:L$153,3),3,4)))</f>
        <v>3</v>
      </c>
      <c r="M109" s="8">
        <f>IF(Data!M109&lt;=QUARTILE(Data!M$4:M$153,1),1,IF(Data!M109&lt;=MEDIAN(Data!M$4:M$153),2,IF(Data!M109&lt;=QUARTILE(Data!M$4:M$153,3),3,4)))</f>
        <v>3</v>
      </c>
      <c r="N109" s="8">
        <f>IF(Data!N109&lt;=QUARTILE(Data!N$4:N$153,1),1,IF(Data!N109&lt;=MEDIAN(Data!N$4:N$153),2,IF(Data!N109&lt;=QUARTILE(Data!N$4:N$153,3),3,4)))</f>
        <v>2</v>
      </c>
      <c r="O109" s="8">
        <f>IF(Data!O109&lt;=QUARTILE(Data!O$4:O$153,1),1,IF(Data!O109&lt;=MEDIAN(Data!O$4:O$153),2,IF(Data!O109&lt;=QUARTILE(Data!O$4:O$153,3),3,4)))</f>
        <v>3</v>
      </c>
      <c r="P109" s="8">
        <f>IF(Data!P109&lt;=QUARTILE(Data!P$4:P$153,1),1,IF(Data!P109&lt;=MEDIAN(Data!P$4:P$153),2,IF(Data!P109&lt;=QUARTILE(Data!P$4:P$153,3),3,4)))</f>
        <v>3</v>
      </c>
      <c r="Q109" s="8">
        <f>IF(Data!Q109&lt;=QUARTILE(Data!Q$4:Q$153,1),1,IF(Data!Q109&lt;=MEDIAN(Data!Q$4:Q$153),2,IF(Data!Q109&lt;=QUARTILE(Data!Q$4:Q$153,3),3,4)))</f>
        <v>1</v>
      </c>
      <c r="R109" s="8">
        <f>IF(Data!R109&lt;=QUARTILE(Data!R$4:R$153,1),1,IF(Data!R109&lt;=MEDIAN(Data!R$4:R$153),2,IF(Data!R109&lt;=QUARTILE(Data!R$4:R$153,3),3,4)))</f>
        <v>3</v>
      </c>
      <c r="S109" s="8">
        <f>IF(Data!S109&lt;=QUARTILE(Data!S$4:S$153,1),1,IF(Data!S109&lt;=MEDIAN(Data!S$4:S$153),2,IF(Data!S109&lt;=QUARTILE(Data!S$4:S$153,3),3,4)))</f>
        <v>4</v>
      </c>
      <c r="T109" s="9">
        <f>IF(Data!T109&lt;=QUARTILE(Data!T$4:T$153,1),1,IF(Data!T109&lt;=MEDIAN(Data!T$4:T$153),2,IF(Data!T109&lt;=QUARTILE(Data!T$4:T$153,3),3,4)))</f>
        <v>2</v>
      </c>
      <c r="U109" s="7">
        <f>IF(Data!U109&lt;=QUARTILE(Data!U$4:U$153,1),1,IF(Data!U109&lt;=MEDIAN(Data!U$4:U$153),2,IF(Data!U109&lt;=QUARTILE(Data!U$4:U$153,3),3,4)))</f>
        <v>2</v>
      </c>
      <c r="V109" s="8">
        <f>IF(Data!V109&lt;=QUARTILE(Data!V$4:V$153,1),1,IF(Data!V109&lt;=MEDIAN(Data!V$4:V$153),2,IF(Data!V109&lt;=QUARTILE(Data!V$4:V$153,3),3,4)))</f>
        <v>1</v>
      </c>
      <c r="W109" s="8">
        <f>IF(Data!W109&lt;=QUARTILE(Data!W$4:W$153,1),1,IF(Data!W109&lt;=MEDIAN(Data!W$4:W$153),2,IF(Data!W109&lt;=QUARTILE(Data!W$4:W$153,3),3,4)))</f>
        <v>2</v>
      </c>
      <c r="X109" s="8">
        <f>IF(Data!X109&lt;=QUARTILE(Data!X$4:X$153,1),1,IF(Data!X109&lt;=MEDIAN(Data!X$4:X$153),2,IF(Data!X109&lt;=QUARTILE(Data!X$4:X$153,3),3,4)))</f>
        <v>2</v>
      </c>
      <c r="Y109" s="8">
        <f>IF(Data!Y109&lt;=QUARTILE(Data!Y$4:Y$153,1),1,IF(Data!Y109&lt;=MEDIAN(Data!Y$4:Y$153),2,IF(Data!Y109&lt;=QUARTILE(Data!Y$4:Y$153,3),3,4)))</f>
        <v>3</v>
      </c>
      <c r="Z109" s="8">
        <f>IF(Data!Z109&lt;=QUARTILE(Data!Z$4:Z$153,1),1,IF(Data!Z109&lt;=MEDIAN(Data!Z$4:Z$153),2,IF(Data!Z109&lt;=QUARTILE(Data!Z$4:Z$153,3),3,4)))</f>
        <v>3</v>
      </c>
      <c r="AA109" s="8">
        <f>IF(Data!AA109&lt;=QUARTILE(Data!AA$4:AA$153,1),1,IF(Data!AA109&lt;=MEDIAN(Data!AA$4:AA$153),2,IF(Data!AA109&lt;=QUARTILE(Data!AA$4:AA$153,3),3,4)))</f>
        <v>1</v>
      </c>
      <c r="AB109" s="8">
        <f>IF(Data!AB109&lt;=QUARTILE(Data!AB$4:AB$153,1),1,IF(Data!AB109&lt;=MEDIAN(Data!AB$4:AB$153),2,IF(Data!AB109&lt;=QUARTILE(Data!AB$4:AB$153,3),3,4)))</f>
        <v>3</v>
      </c>
      <c r="AC109" s="8">
        <f>IF(Data!AC109&lt;=QUARTILE(Data!AC$4:AC$153,1),1,IF(Data!AC109&lt;=MEDIAN(Data!AC$4:AC$153),2,IF(Data!AC109&lt;=QUARTILE(Data!AC$4:AC$153,3),3,4)))</f>
        <v>4</v>
      </c>
      <c r="AD109" s="8">
        <f>IF(Data!AD109&lt;=QUARTILE(Data!AD$4:AD$153,1),1,IF(Data!AD109&lt;=MEDIAN(Data!AD$4:AD$153),2,IF(Data!AD109&lt;=QUARTILE(Data!AD$4:AD$153,3),3,4)))</f>
        <v>3</v>
      </c>
      <c r="AE109" s="8">
        <f>IF(Data!AE109&lt;=QUARTILE(Data!AE$4:AE$153,1),1,IF(Data!AE109&lt;=MEDIAN(Data!AE$4:AE$153),2,IF(Data!AE109&lt;=QUARTILE(Data!AE$4:AE$153,3),3,4)))</f>
        <v>3</v>
      </c>
      <c r="AF109" s="8">
        <f>IF(Data!AF109&lt;=QUARTILE(Data!AF$4:AF$153,1),1,IF(Data!AF109&lt;=MEDIAN(Data!AF$4:AF$153),2,IF(Data!AF109&lt;=QUARTILE(Data!AF$4:AF$153,3),3,4)))</f>
        <v>3</v>
      </c>
      <c r="AG109" s="8">
        <f>IF(Data!AG109&lt;=QUARTILE(Data!AG$4:AG$153,1),1,IF(Data!AG109&lt;=MEDIAN(Data!AG$4:AG$153),2,IF(Data!AG109&lt;=QUARTILE(Data!AG$4:AG$153,3),3,4)))</f>
        <v>4</v>
      </c>
      <c r="AH109" s="9">
        <f>IF(Data!AH109&lt;=QUARTILE(Data!AH$4:AH$153,1),1,IF(Data!AH109&lt;=MEDIAN(Data!AH$4:AH$153),2,IF(Data!AH109&lt;=QUARTILE(Data!AH$4:AH$153,3),3,4)))</f>
        <v>2</v>
      </c>
    </row>
    <row r="110" spans="1:34" x14ac:dyDescent="0.25">
      <c r="A110" s="7" t="s">
        <v>24</v>
      </c>
      <c r="B110" s="14" t="s">
        <v>68</v>
      </c>
      <c r="C110" s="7">
        <v>33</v>
      </c>
      <c r="D110" s="8">
        <v>49</v>
      </c>
      <c r="E110" s="42" t="s">
        <v>59</v>
      </c>
      <c r="F110" s="9">
        <v>-1.75</v>
      </c>
      <c r="G110" s="7">
        <f>IF(Data!G110&lt;=QUARTILE(Data!G$4:G$153,1),1,IF(Data!G110&lt;=MEDIAN(Data!G$4:G$153),2,IF(Data!G110&lt;=QUARTILE(Data!G$4:G$153,3),3,4)))</f>
        <v>1</v>
      </c>
      <c r="H110" s="8">
        <f>IF(Data!H110&lt;=QUARTILE(Data!H$4:H$153,1),1,IF(Data!H110&lt;=MEDIAN(Data!H$4:H$153),2,IF(Data!H110&lt;=QUARTILE(Data!H$4:H$153,3),3,4)))</f>
        <v>1</v>
      </c>
      <c r="I110" s="8">
        <f>IF(Data!I110&lt;=QUARTILE(Data!I$4:I$153,1),1,IF(Data!I110&lt;=MEDIAN(Data!I$4:I$153),2,IF(Data!I110&lt;=QUARTILE(Data!I$4:I$153,3),3,4)))</f>
        <v>1</v>
      </c>
      <c r="J110" s="8">
        <f>IF(Data!J110&lt;=QUARTILE(Data!J$4:J$153,1),1,IF(Data!J110&lt;=MEDIAN(Data!J$4:J$153),2,IF(Data!J110&lt;=QUARTILE(Data!J$4:J$153,3),3,4)))</f>
        <v>1</v>
      </c>
      <c r="K110" s="8">
        <f>IF(Data!K110&lt;=QUARTILE(Data!K$4:K$153,1),1,IF(Data!K110&lt;=MEDIAN(Data!K$4:K$153),2,IF(Data!K110&lt;=QUARTILE(Data!K$4:K$153,3),3,4)))</f>
        <v>1</v>
      </c>
      <c r="L110" s="8">
        <f>IF(Data!L110&lt;=QUARTILE(Data!L$4:L$153,1),1,IF(Data!L110&lt;=MEDIAN(Data!L$4:L$153),2,IF(Data!L110&lt;=QUARTILE(Data!L$4:L$153,3),3,4)))</f>
        <v>1</v>
      </c>
      <c r="M110" s="8">
        <f>IF(Data!M110&lt;=QUARTILE(Data!M$4:M$153,1),1,IF(Data!M110&lt;=MEDIAN(Data!M$4:M$153),2,IF(Data!M110&lt;=QUARTILE(Data!M$4:M$153,3),3,4)))</f>
        <v>1</v>
      </c>
      <c r="N110" s="8">
        <f>IF(Data!N110&lt;=QUARTILE(Data!N$4:N$153,1),1,IF(Data!N110&lt;=MEDIAN(Data!N$4:N$153),2,IF(Data!N110&lt;=QUARTILE(Data!N$4:N$153,3),3,4)))</f>
        <v>2</v>
      </c>
      <c r="O110" s="8">
        <f>IF(Data!O110&lt;=QUARTILE(Data!O$4:O$153,1),1,IF(Data!O110&lt;=MEDIAN(Data!O$4:O$153),2,IF(Data!O110&lt;=QUARTILE(Data!O$4:O$153,3),3,4)))</f>
        <v>2</v>
      </c>
      <c r="P110" s="8">
        <f>IF(Data!P110&lt;=QUARTILE(Data!P$4:P$153,1),1,IF(Data!P110&lt;=MEDIAN(Data!P$4:P$153),2,IF(Data!P110&lt;=QUARTILE(Data!P$4:P$153,3),3,4)))</f>
        <v>2</v>
      </c>
      <c r="Q110" s="8">
        <f>IF(Data!Q110&lt;=QUARTILE(Data!Q$4:Q$153,1),1,IF(Data!Q110&lt;=MEDIAN(Data!Q$4:Q$153),2,IF(Data!Q110&lt;=QUARTILE(Data!Q$4:Q$153,3),3,4)))</f>
        <v>4</v>
      </c>
      <c r="R110" s="8">
        <f>IF(Data!R110&lt;=QUARTILE(Data!R$4:R$153,1),1,IF(Data!R110&lt;=MEDIAN(Data!R$4:R$153),2,IF(Data!R110&lt;=QUARTILE(Data!R$4:R$153,3),3,4)))</f>
        <v>3</v>
      </c>
      <c r="S110" s="8">
        <f>IF(Data!S110&lt;=QUARTILE(Data!S$4:S$153,1),1,IF(Data!S110&lt;=MEDIAN(Data!S$4:S$153),2,IF(Data!S110&lt;=QUARTILE(Data!S$4:S$153,3),3,4)))</f>
        <v>3</v>
      </c>
      <c r="T110" s="9">
        <f>IF(Data!T110&lt;=QUARTILE(Data!T$4:T$153,1),1,IF(Data!T110&lt;=MEDIAN(Data!T$4:T$153),2,IF(Data!T110&lt;=QUARTILE(Data!T$4:T$153,3),3,4)))</f>
        <v>1</v>
      </c>
      <c r="U110" s="7">
        <f>IF(Data!U110&lt;=QUARTILE(Data!U$4:U$153,1),1,IF(Data!U110&lt;=MEDIAN(Data!U$4:U$153),2,IF(Data!U110&lt;=QUARTILE(Data!U$4:U$153,3),3,4)))</f>
        <v>1</v>
      </c>
      <c r="V110" s="8">
        <f>IF(Data!V110&lt;=QUARTILE(Data!V$4:V$153,1),1,IF(Data!V110&lt;=MEDIAN(Data!V$4:V$153),2,IF(Data!V110&lt;=QUARTILE(Data!V$4:V$153,3),3,4)))</f>
        <v>2</v>
      </c>
      <c r="W110" s="8">
        <f>IF(Data!W110&lt;=QUARTILE(Data!W$4:W$153,1),1,IF(Data!W110&lt;=MEDIAN(Data!W$4:W$153),2,IF(Data!W110&lt;=QUARTILE(Data!W$4:W$153,3),3,4)))</f>
        <v>1</v>
      </c>
      <c r="X110" s="8">
        <f>IF(Data!X110&lt;=QUARTILE(Data!X$4:X$153,1),1,IF(Data!X110&lt;=MEDIAN(Data!X$4:X$153),2,IF(Data!X110&lt;=QUARTILE(Data!X$4:X$153,3),3,4)))</f>
        <v>1</v>
      </c>
      <c r="Y110" s="8">
        <f>IF(Data!Y110&lt;=QUARTILE(Data!Y$4:Y$153,1),1,IF(Data!Y110&lt;=MEDIAN(Data!Y$4:Y$153),2,IF(Data!Y110&lt;=QUARTILE(Data!Y$4:Y$153,3),3,4)))</f>
        <v>2</v>
      </c>
      <c r="Z110" s="8">
        <f>IF(Data!Z110&lt;=QUARTILE(Data!Z$4:Z$153,1),1,IF(Data!Z110&lt;=MEDIAN(Data!Z$4:Z$153),2,IF(Data!Z110&lt;=QUARTILE(Data!Z$4:Z$153,3),3,4)))</f>
        <v>2</v>
      </c>
      <c r="AA110" s="8">
        <f>IF(Data!AA110&lt;=QUARTILE(Data!AA$4:AA$153,1),1,IF(Data!AA110&lt;=MEDIAN(Data!AA$4:AA$153),2,IF(Data!AA110&lt;=QUARTILE(Data!AA$4:AA$153,3),3,4)))</f>
        <v>4</v>
      </c>
      <c r="AB110" s="8">
        <f>IF(Data!AB110&lt;=QUARTILE(Data!AB$4:AB$153,1),1,IF(Data!AB110&lt;=MEDIAN(Data!AB$4:AB$153),2,IF(Data!AB110&lt;=QUARTILE(Data!AB$4:AB$153,3),3,4)))</f>
        <v>2</v>
      </c>
      <c r="AC110" s="8">
        <f>IF(Data!AC110&lt;=QUARTILE(Data!AC$4:AC$153,1),1,IF(Data!AC110&lt;=MEDIAN(Data!AC$4:AC$153),2,IF(Data!AC110&lt;=QUARTILE(Data!AC$4:AC$153,3),3,4)))</f>
        <v>1</v>
      </c>
      <c r="AD110" s="8">
        <f>IF(Data!AD110&lt;=QUARTILE(Data!AD$4:AD$153,1),1,IF(Data!AD110&lt;=MEDIAN(Data!AD$4:AD$153),2,IF(Data!AD110&lt;=QUARTILE(Data!AD$4:AD$153,3),3,4)))</f>
        <v>1</v>
      </c>
      <c r="AE110" s="8">
        <f>IF(Data!AE110&lt;=QUARTILE(Data!AE$4:AE$153,1),1,IF(Data!AE110&lt;=MEDIAN(Data!AE$4:AE$153),2,IF(Data!AE110&lt;=QUARTILE(Data!AE$4:AE$153,3),3,4)))</f>
        <v>2</v>
      </c>
      <c r="AF110" s="8">
        <f>IF(Data!AF110&lt;=QUARTILE(Data!AF$4:AF$153,1),1,IF(Data!AF110&lt;=MEDIAN(Data!AF$4:AF$153),2,IF(Data!AF110&lt;=QUARTILE(Data!AF$4:AF$153,3),3,4)))</f>
        <v>2</v>
      </c>
      <c r="AG110" s="8">
        <f>IF(Data!AG110&lt;=QUARTILE(Data!AG$4:AG$153,1),1,IF(Data!AG110&lt;=MEDIAN(Data!AG$4:AG$153),2,IF(Data!AG110&lt;=QUARTILE(Data!AG$4:AG$153,3),3,4)))</f>
        <v>2</v>
      </c>
      <c r="AH110" s="9">
        <f>IF(Data!AH110&lt;=QUARTILE(Data!AH$4:AH$153,1),1,IF(Data!AH110&lt;=MEDIAN(Data!AH$4:AH$153),2,IF(Data!AH110&lt;=QUARTILE(Data!AH$4:AH$153,3),3,4)))</f>
        <v>1</v>
      </c>
    </row>
    <row r="111" spans="1:34" x14ac:dyDescent="0.25">
      <c r="A111" s="7" t="s">
        <v>23</v>
      </c>
      <c r="B111" s="14" t="s">
        <v>68</v>
      </c>
      <c r="C111" s="7">
        <v>49</v>
      </c>
      <c r="D111" s="8">
        <v>33</v>
      </c>
      <c r="E111" s="42" t="s">
        <v>58</v>
      </c>
      <c r="F111" s="9">
        <v>1.1100000000000001</v>
      </c>
      <c r="G111" s="7">
        <f>IF(Data!G111&lt;=QUARTILE(Data!G$4:G$153,1),1,IF(Data!G111&lt;=MEDIAN(Data!G$4:G$153),2,IF(Data!G111&lt;=QUARTILE(Data!G$4:G$153,3),3,4)))</f>
        <v>1</v>
      </c>
      <c r="H111" s="8">
        <f>IF(Data!H111&lt;=QUARTILE(Data!H$4:H$153,1),1,IF(Data!H111&lt;=MEDIAN(Data!H$4:H$153),2,IF(Data!H111&lt;=QUARTILE(Data!H$4:H$153,3),3,4)))</f>
        <v>1</v>
      </c>
      <c r="I111" s="8">
        <f>IF(Data!I111&lt;=QUARTILE(Data!I$4:I$153,1),1,IF(Data!I111&lt;=MEDIAN(Data!I$4:I$153),2,IF(Data!I111&lt;=QUARTILE(Data!I$4:I$153,3),3,4)))</f>
        <v>2</v>
      </c>
      <c r="J111" s="8">
        <f>IF(Data!J111&lt;=QUARTILE(Data!J$4:J$153,1),1,IF(Data!J111&lt;=MEDIAN(Data!J$4:J$153),2,IF(Data!J111&lt;=QUARTILE(Data!J$4:J$153,3),3,4)))</f>
        <v>3</v>
      </c>
      <c r="K111" s="8">
        <f>IF(Data!K111&lt;=QUARTILE(Data!K$4:K$153,1),1,IF(Data!K111&lt;=MEDIAN(Data!K$4:K$153),2,IF(Data!K111&lt;=QUARTILE(Data!K$4:K$153,3),3,4)))</f>
        <v>3</v>
      </c>
      <c r="L111" s="8">
        <f>IF(Data!L111&lt;=QUARTILE(Data!L$4:L$153,1),1,IF(Data!L111&lt;=MEDIAN(Data!L$4:L$153),2,IF(Data!L111&lt;=QUARTILE(Data!L$4:L$153,3),3,4)))</f>
        <v>3</v>
      </c>
      <c r="M111" s="8">
        <f>IF(Data!M111&lt;=QUARTILE(Data!M$4:M$153,1),1,IF(Data!M111&lt;=MEDIAN(Data!M$4:M$153),2,IF(Data!M111&lt;=QUARTILE(Data!M$4:M$153,3),3,4)))</f>
        <v>1</v>
      </c>
      <c r="N111" s="8">
        <f>IF(Data!N111&lt;=QUARTILE(Data!N$4:N$153,1),1,IF(Data!N111&lt;=MEDIAN(Data!N$4:N$153),2,IF(Data!N111&lt;=QUARTILE(Data!N$4:N$153,3),3,4)))</f>
        <v>3</v>
      </c>
      <c r="O111" s="8">
        <f>IF(Data!O111&lt;=QUARTILE(Data!O$4:O$153,1),1,IF(Data!O111&lt;=MEDIAN(Data!O$4:O$153),2,IF(Data!O111&lt;=QUARTILE(Data!O$4:O$153,3),3,4)))</f>
        <v>4</v>
      </c>
      <c r="P111" s="8">
        <f>IF(Data!P111&lt;=QUARTILE(Data!P$4:P$153,1),1,IF(Data!P111&lt;=MEDIAN(Data!P$4:P$153),2,IF(Data!P111&lt;=QUARTILE(Data!P$4:P$153,3),3,4)))</f>
        <v>2</v>
      </c>
      <c r="Q111" s="8">
        <f>IF(Data!Q111&lt;=QUARTILE(Data!Q$4:Q$153,1),1,IF(Data!Q111&lt;=MEDIAN(Data!Q$4:Q$153),2,IF(Data!Q111&lt;=QUARTILE(Data!Q$4:Q$153,3),3,4)))</f>
        <v>1</v>
      </c>
      <c r="R111" s="8">
        <f>IF(Data!R111&lt;=QUARTILE(Data!R$4:R$153,1),1,IF(Data!R111&lt;=MEDIAN(Data!R$4:R$153),2,IF(Data!R111&lt;=QUARTILE(Data!R$4:R$153,3),3,4)))</f>
        <v>1</v>
      </c>
      <c r="S111" s="8">
        <f>IF(Data!S111&lt;=QUARTILE(Data!S$4:S$153,1),1,IF(Data!S111&lt;=MEDIAN(Data!S$4:S$153),2,IF(Data!S111&lt;=QUARTILE(Data!S$4:S$153,3),3,4)))</f>
        <v>4</v>
      </c>
      <c r="T111" s="9">
        <f>IF(Data!T111&lt;=QUARTILE(Data!T$4:T$153,1),1,IF(Data!T111&lt;=MEDIAN(Data!T$4:T$153),2,IF(Data!T111&lt;=QUARTILE(Data!T$4:T$153,3),3,4)))</f>
        <v>1</v>
      </c>
      <c r="U111" s="7">
        <f>IF(Data!U111&lt;=QUARTILE(Data!U$4:U$153,1),1,IF(Data!U111&lt;=MEDIAN(Data!U$4:U$153),2,IF(Data!U111&lt;=QUARTILE(Data!U$4:U$153,3),3,4)))</f>
        <v>1</v>
      </c>
      <c r="V111" s="8">
        <f>IF(Data!V111&lt;=QUARTILE(Data!V$4:V$153,1),1,IF(Data!V111&lt;=MEDIAN(Data!V$4:V$153),2,IF(Data!V111&lt;=QUARTILE(Data!V$4:V$153,3),3,4)))</f>
        <v>1</v>
      </c>
      <c r="W111" s="8">
        <f>IF(Data!W111&lt;=QUARTILE(Data!W$4:W$153,1),1,IF(Data!W111&lt;=MEDIAN(Data!W$4:W$153),2,IF(Data!W111&lt;=QUARTILE(Data!W$4:W$153,3),3,4)))</f>
        <v>2</v>
      </c>
      <c r="X111" s="8">
        <f>IF(Data!X111&lt;=QUARTILE(Data!X$4:X$153,1),1,IF(Data!X111&lt;=MEDIAN(Data!X$4:X$153),2,IF(Data!X111&lt;=QUARTILE(Data!X$4:X$153,3),3,4)))</f>
        <v>2</v>
      </c>
      <c r="Y111" s="8">
        <f>IF(Data!Y111&lt;=QUARTILE(Data!Y$4:Y$153,1),1,IF(Data!Y111&lt;=MEDIAN(Data!Y$4:Y$153),2,IF(Data!Y111&lt;=QUARTILE(Data!Y$4:Y$153,3),3,4)))</f>
        <v>3</v>
      </c>
      <c r="Z111" s="8">
        <f>IF(Data!Z111&lt;=QUARTILE(Data!Z$4:Z$153,1),1,IF(Data!Z111&lt;=MEDIAN(Data!Z$4:Z$153),2,IF(Data!Z111&lt;=QUARTILE(Data!Z$4:Z$153,3),3,4)))</f>
        <v>3</v>
      </c>
      <c r="AA111" s="8">
        <f>IF(Data!AA111&lt;=QUARTILE(Data!AA$4:AA$153,1),1,IF(Data!AA111&lt;=MEDIAN(Data!AA$4:AA$153),2,IF(Data!AA111&lt;=QUARTILE(Data!AA$4:AA$153,3),3,4)))</f>
        <v>1</v>
      </c>
      <c r="AB111" s="8">
        <f>IF(Data!AB111&lt;=QUARTILE(Data!AB$4:AB$153,1),1,IF(Data!AB111&lt;=MEDIAN(Data!AB$4:AB$153),2,IF(Data!AB111&lt;=QUARTILE(Data!AB$4:AB$153,3),3,4)))</f>
        <v>4</v>
      </c>
      <c r="AC111" s="8">
        <f>IF(Data!AC111&lt;=QUARTILE(Data!AC$4:AC$153,1),1,IF(Data!AC111&lt;=MEDIAN(Data!AC$4:AC$153),2,IF(Data!AC111&lt;=QUARTILE(Data!AC$4:AC$153,3),3,4)))</f>
        <v>2</v>
      </c>
      <c r="AD111" s="8">
        <f>IF(Data!AD111&lt;=QUARTILE(Data!AD$4:AD$153,1),1,IF(Data!AD111&lt;=MEDIAN(Data!AD$4:AD$153),2,IF(Data!AD111&lt;=QUARTILE(Data!AD$4:AD$153,3),3,4)))</f>
        <v>2</v>
      </c>
      <c r="AE111" s="8">
        <f>IF(Data!AE111&lt;=QUARTILE(Data!AE$4:AE$153,1),1,IF(Data!AE111&lt;=MEDIAN(Data!AE$4:AE$153),2,IF(Data!AE111&lt;=QUARTILE(Data!AE$4:AE$153,3),3,4)))</f>
        <v>1</v>
      </c>
      <c r="AF111" s="8">
        <f>IF(Data!AF111&lt;=QUARTILE(Data!AF$4:AF$153,1),1,IF(Data!AF111&lt;=MEDIAN(Data!AF$4:AF$153),2,IF(Data!AF111&lt;=QUARTILE(Data!AF$4:AF$153,3),3,4)))</f>
        <v>2</v>
      </c>
      <c r="AG111" s="8">
        <f>IF(Data!AG111&lt;=QUARTILE(Data!AG$4:AG$153,1),1,IF(Data!AG111&lt;=MEDIAN(Data!AG$4:AG$153),2,IF(Data!AG111&lt;=QUARTILE(Data!AG$4:AG$153,3),3,4)))</f>
        <v>3</v>
      </c>
      <c r="AH111" s="9">
        <f>IF(Data!AH111&lt;=QUARTILE(Data!AH$4:AH$153,1),1,IF(Data!AH111&lt;=MEDIAN(Data!AH$4:AH$153),2,IF(Data!AH111&lt;=QUARTILE(Data!AH$4:AH$153,3),3,4)))</f>
        <v>1</v>
      </c>
    </row>
    <row r="112" spans="1:34" x14ac:dyDescent="0.25">
      <c r="A112" s="7" t="s">
        <v>62</v>
      </c>
      <c r="B112" s="14" t="s">
        <v>68</v>
      </c>
      <c r="C112" s="7">
        <v>38</v>
      </c>
      <c r="D112" s="8">
        <v>44</v>
      </c>
      <c r="E112" s="42" t="s">
        <v>59</v>
      </c>
      <c r="F112" s="9">
        <v>-2.5099999999999998</v>
      </c>
      <c r="G112" s="7">
        <f>IF(Data!G112&lt;=QUARTILE(Data!G$4:G$153,1),1,IF(Data!G112&lt;=MEDIAN(Data!G$4:G$153),2,IF(Data!G112&lt;=QUARTILE(Data!G$4:G$153,3),3,4)))</f>
        <v>1</v>
      </c>
      <c r="H112" s="8">
        <f>IF(Data!H112&lt;=QUARTILE(Data!H$4:H$153,1),1,IF(Data!H112&lt;=MEDIAN(Data!H$4:H$153),2,IF(Data!H112&lt;=QUARTILE(Data!H$4:H$153,3),3,4)))</f>
        <v>2</v>
      </c>
      <c r="I112" s="8">
        <f>IF(Data!I112&lt;=QUARTILE(Data!I$4:I$153,1),1,IF(Data!I112&lt;=MEDIAN(Data!I$4:I$153),2,IF(Data!I112&lt;=QUARTILE(Data!I$4:I$153,3),3,4)))</f>
        <v>1</v>
      </c>
      <c r="J112" s="8">
        <f>IF(Data!J112&lt;=QUARTILE(Data!J$4:J$153,1),1,IF(Data!J112&lt;=MEDIAN(Data!J$4:J$153),2,IF(Data!J112&lt;=QUARTILE(Data!J$4:J$153,3),3,4)))</f>
        <v>1</v>
      </c>
      <c r="K112" s="8">
        <f>IF(Data!K112&lt;=QUARTILE(Data!K$4:K$153,1),1,IF(Data!K112&lt;=MEDIAN(Data!K$4:K$153),2,IF(Data!K112&lt;=QUARTILE(Data!K$4:K$153,3),3,4)))</f>
        <v>3</v>
      </c>
      <c r="L112" s="8">
        <f>IF(Data!L112&lt;=QUARTILE(Data!L$4:L$153,1),1,IF(Data!L112&lt;=MEDIAN(Data!L$4:L$153),2,IF(Data!L112&lt;=QUARTILE(Data!L$4:L$153,3),3,4)))</f>
        <v>3</v>
      </c>
      <c r="M112" s="8">
        <f>IF(Data!M112&lt;=QUARTILE(Data!M$4:M$153,1),1,IF(Data!M112&lt;=MEDIAN(Data!M$4:M$153),2,IF(Data!M112&lt;=QUARTILE(Data!M$4:M$153,3),3,4)))</f>
        <v>2</v>
      </c>
      <c r="N112" s="8">
        <f>IF(Data!N112&lt;=QUARTILE(Data!N$4:N$153,1),1,IF(Data!N112&lt;=MEDIAN(Data!N$4:N$153),2,IF(Data!N112&lt;=QUARTILE(Data!N$4:N$153,3),3,4)))</f>
        <v>1</v>
      </c>
      <c r="O112" s="8">
        <f>IF(Data!O112&lt;=QUARTILE(Data!O$4:O$153,1),1,IF(Data!O112&lt;=MEDIAN(Data!O$4:O$153),2,IF(Data!O112&lt;=QUARTILE(Data!O$4:O$153,3),3,4)))</f>
        <v>1</v>
      </c>
      <c r="P112" s="8">
        <f>IF(Data!P112&lt;=QUARTILE(Data!P$4:P$153,1),1,IF(Data!P112&lt;=MEDIAN(Data!P$4:P$153),2,IF(Data!P112&lt;=QUARTILE(Data!P$4:P$153,3),3,4)))</f>
        <v>3</v>
      </c>
      <c r="Q112" s="8">
        <f>IF(Data!Q112&lt;=QUARTILE(Data!Q$4:Q$153,1),1,IF(Data!Q112&lt;=MEDIAN(Data!Q$4:Q$153),2,IF(Data!Q112&lt;=QUARTILE(Data!Q$4:Q$153,3),3,4)))</f>
        <v>1</v>
      </c>
      <c r="R112" s="8">
        <f>IF(Data!R112&lt;=QUARTILE(Data!R$4:R$153,1),1,IF(Data!R112&lt;=MEDIAN(Data!R$4:R$153),2,IF(Data!R112&lt;=QUARTILE(Data!R$4:R$153,3),3,4)))</f>
        <v>1</v>
      </c>
      <c r="S112" s="8">
        <f>IF(Data!S112&lt;=QUARTILE(Data!S$4:S$153,1),1,IF(Data!S112&lt;=MEDIAN(Data!S$4:S$153),2,IF(Data!S112&lt;=QUARTILE(Data!S$4:S$153,3),3,4)))</f>
        <v>2</v>
      </c>
      <c r="T112" s="9">
        <f>IF(Data!T112&lt;=QUARTILE(Data!T$4:T$153,1),1,IF(Data!T112&lt;=MEDIAN(Data!T$4:T$153),2,IF(Data!T112&lt;=QUARTILE(Data!T$4:T$153,3),3,4)))</f>
        <v>1</v>
      </c>
      <c r="U112" s="7">
        <f>IF(Data!U112&lt;=QUARTILE(Data!U$4:U$153,1),1,IF(Data!U112&lt;=MEDIAN(Data!U$4:U$153),2,IF(Data!U112&lt;=QUARTILE(Data!U$4:U$153,3),3,4)))</f>
        <v>2</v>
      </c>
      <c r="V112" s="8">
        <f>IF(Data!V112&lt;=QUARTILE(Data!V$4:V$153,1),1,IF(Data!V112&lt;=MEDIAN(Data!V$4:V$153),2,IF(Data!V112&lt;=QUARTILE(Data!V$4:V$153,3),3,4)))</f>
        <v>1</v>
      </c>
      <c r="W112" s="8">
        <f>IF(Data!W112&lt;=QUARTILE(Data!W$4:W$153,1),1,IF(Data!W112&lt;=MEDIAN(Data!W$4:W$153),2,IF(Data!W112&lt;=QUARTILE(Data!W$4:W$153,3),3,4)))</f>
        <v>3</v>
      </c>
      <c r="X112" s="8">
        <f>IF(Data!X112&lt;=QUARTILE(Data!X$4:X$153,1),1,IF(Data!X112&lt;=MEDIAN(Data!X$4:X$153),2,IF(Data!X112&lt;=QUARTILE(Data!X$4:X$153,3),3,4)))</f>
        <v>3</v>
      </c>
      <c r="Y112" s="8">
        <f>IF(Data!Y112&lt;=QUARTILE(Data!Y$4:Y$153,1),1,IF(Data!Y112&lt;=MEDIAN(Data!Y$4:Y$153),2,IF(Data!Y112&lt;=QUARTILE(Data!Y$4:Y$153,3),3,4)))</f>
        <v>2</v>
      </c>
      <c r="Z112" s="8">
        <f>IF(Data!Z112&lt;=QUARTILE(Data!Z$4:Z$153,1),1,IF(Data!Z112&lt;=MEDIAN(Data!Z$4:Z$153),2,IF(Data!Z112&lt;=QUARTILE(Data!Z$4:Z$153,3),3,4)))</f>
        <v>2</v>
      </c>
      <c r="AA112" s="8">
        <f>IF(Data!AA112&lt;=QUARTILE(Data!AA$4:AA$153,1),1,IF(Data!AA112&lt;=MEDIAN(Data!AA$4:AA$153),2,IF(Data!AA112&lt;=QUARTILE(Data!AA$4:AA$153,3),3,4)))</f>
        <v>1</v>
      </c>
      <c r="AB112" s="8">
        <f>IF(Data!AB112&lt;=QUARTILE(Data!AB$4:AB$153,1),1,IF(Data!AB112&lt;=MEDIAN(Data!AB$4:AB$153),2,IF(Data!AB112&lt;=QUARTILE(Data!AB$4:AB$153,3),3,4)))</f>
        <v>3</v>
      </c>
      <c r="AC112" s="8">
        <f>IF(Data!AC112&lt;=QUARTILE(Data!AC$4:AC$153,1),1,IF(Data!AC112&lt;=MEDIAN(Data!AC$4:AC$153),2,IF(Data!AC112&lt;=QUARTILE(Data!AC$4:AC$153,3),3,4)))</f>
        <v>1</v>
      </c>
      <c r="AD112" s="8">
        <f>IF(Data!AD112&lt;=QUARTILE(Data!AD$4:AD$153,1),1,IF(Data!AD112&lt;=MEDIAN(Data!AD$4:AD$153),2,IF(Data!AD112&lt;=QUARTILE(Data!AD$4:AD$153,3),3,4)))</f>
        <v>1</v>
      </c>
      <c r="AE112" s="8">
        <f>IF(Data!AE112&lt;=QUARTILE(Data!AE$4:AE$153,1),1,IF(Data!AE112&lt;=MEDIAN(Data!AE$4:AE$153),2,IF(Data!AE112&lt;=QUARTILE(Data!AE$4:AE$153,3),3,4)))</f>
        <v>4</v>
      </c>
      <c r="AF112" s="8">
        <f>IF(Data!AF112&lt;=QUARTILE(Data!AF$4:AF$153,1),1,IF(Data!AF112&lt;=MEDIAN(Data!AF$4:AF$153),2,IF(Data!AF112&lt;=QUARTILE(Data!AF$4:AF$153,3),3,4)))</f>
        <v>3</v>
      </c>
      <c r="AG112" s="8">
        <f>IF(Data!AG112&lt;=QUARTILE(Data!AG$4:AG$153,1),1,IF(Data!AG112&lt;=MEDIAN(Data!AG$4:AG$153),2,IF(Data!AG112&lt;=QUARTILE(Data!AG$4:AG$153,3),3,4)))</f>
        <v>4</v>
      </c>
      <c r="AH112" s="9">
        <f>IF(Data!AH112&lt;=QUARTILE(Data!AH$4:AH$153,1),1,IF(Data!AH112&lt;=MEDIAN(Data!AH$4:AH$153),2,IF(Data!AH112&lt;=QUARTILE(Data!AH$4:AH$153,3),3,4)))</f>
        <v>2</v>
      </c>
    </row>
    <row r="113" spans="1:34" x14ac:dyDescent="0.25">
      <c r="A113" s="7" t="s">
        <v>18</v>
      </c>
      <c r="B113" s="14" t="s">
        <v>68</v>
      </c>
      <c r="C113" s="7">
        <v>23</v>
      </c>
      <c r="D113" s="8">
        <v>59</v>
      </c>
      <c r="E113" s="42" t="s">
        <v>59</v>
      </c>
      <c r="F113" s="9">
        <v>-6.3</v>
      </c>
      <c r="G113" s="7">
        <f>IF(Data!G113&lt;=QUARTILE(Data!G$4:G$153,1),1,IF(Data!G113&lt;=MEDIAN(Data!G$4:G$153),2,IF(Data!G113&lt;=QUARTILE(Data!G$4:G$153,3),3,4)))</f>
        <v>1</v>
      </c>
      <c r="H113" s="8">
        <f>IF(Data!H113&lt;=QUARTILE(Data!H$4:H$153,1),1,IF(Data!H113&lt;=MEDIAN(Data!H$4:H$153),2,IF(Data!H113&lt;=QUARTILE(Data!H$4:H$153,3),3,4)))</f>
        <v>1</v>
      </c>
      <c r="I113" s="8">
        <f>IF(Data!I113&lt;=QUARTILE(Data!I$4:I$153,1),1,IF(Data!I113&lt;=MEDIAN(Data!I$4:I$153),2,IF(Data!I113&lt;=QUARTILE(Data!I$4:I$153,3),3,4)))</f>
        <v>1</v>
      </c>
      <c r="J113" s="8">
        <f>IF(Data!J113&lt;=QUARTILE(Data!J$4:J$153,1),1,IF(Data!J113&lt;=MEDIAN(Data!J$4:J$153),2,IF(Data!J113&lt;=QUARTILE(Data!J$4:J$153,3),3,4)))</f>
        <v>1</v>
      </c>
      <c r="K113" s="8">
        <f>IF(Data!K113&lt;=QUARTILE(Data!K$4:K$153,1),1,IF(Data!K113&lt;=MEDIAN(Data!K$4:K$153),2,IF(Data!K113&lt;=QUARTILE(Data!K$4:K$153,3),3,4)))</f>
        <v>4</v>
      </c>
      <c r="L113" s="8">
        <f>IF(Data!L113&lt;=QUARTILE(Data!L$4:L$153,1),1,IF(Data!L113&lt;=MEDIAN(Data!L$4:L$153),2,IF(Data!L113&lt;=QUARTILE(Data!L$4:L$153,3),3,4)))</f>
        <v>4</v>
      </c>
      <c r="M113" s="8">
        <f>IF(Data!M113&lt;=QUARTILE(Data!M$4:M$153,1),1,IF(Data!M113&lt;=MEDIAN(Data!M$4:M$153),2,IF(Data!M113&lt;=QUARTILE(Data!M$4:M$153,3),3,4)))</f>
        <v>4</v>
      </c>
      <c r="N113" s="8">
        <f>IF(Data!N113&lt;=QUARTILE(Data!N$4:N$153,1),1,IF(Data!N113&lt;=MEDIAN(Data!N$4:N$153),2,IF(Data!N113&lt;=QUARTILE(Data!N$4:N$153,3),3,4)))</f>
        <v>1</v>
      </c>
      <c r="O113" s="8">
        <f>IF(Data!O113&lt;=QUARTILE(Data!O$4:O$153,1),1,IF(Data!O113&lt;=MEDIAN(Data!O$4:O$153),2,IF(Data!O113&lt;=QUARTILE(Data!O$4:O$153,3),3,4)))</f>
        <v>1</v>
      </c>
      <c r="P113" s="8">
        <f>IF(Data!P113&lt;=QUARTILE(Data!P$4:P$153,1),1,IF(Data!P113&lt;=MEDIAN(Data!P$4:P$153),2,IF(Data!P113&lt;=QUARTILE(Data!P$4:P$153,3),3,4)))</f>
        <v>1</v>
      </c>
      <c r="Q113" s="8">
        <f>IF(Data!Q113&lt;=QUARTILE(Data!Q$4:Q$153,1),1,IF(Data!Q113&lt;=MEDIAN(Data!Q$4:Q$153),2,IF(Data!Q113&lt;=QUARTILE(Data!Q$4:Q$153,3),3,4)))</f>
        <v>1</v>
      </c>
      <c r="R113" s="8">
        <f>IF(Data!R113&lt;=QUARTILE(Data!R$4:R$153,1),1,IF(Data!R113&lt;=MEDIAN(Data!R$4:R$153),2,IF(Data!R113&lt;=QUARTILE(Data!R$4:R$153,3),3,4)))</f>
        <v>4</v>
      </c>
      <c r="S113" s="8">
        <f>IF(Data!S113&lt;=QUARTILE(Data!S$4:S$153,1),1,IF(Data!S113&lt;=MEDIAN(Data!S$4:S$153),2,IF(Data!S113&lt;=QUARTILE(Data!S$4:S$153,3),3,4)))</f>
        <v>4</v>
      </c>
      <c r="T113" s="9">
        <f>IF(Data!T113&lt;=QUARTILE(Data!T$4:T$153,1),1,IF(Data!T113&lt;=MEDIAN(Data!T$4:T$153),2,IF(Data!T113&lt;=QUARTILE(Data!T$4:T$153,3),3,4)))</f>
        <v>1</v>
      </c>
      <c r="U113" s="7">
        <f>IF(Data!U113&lt;=QUARTILE(Data!U$4:U$153,1),1,IF(Data!U113&lt;=MEDIAN(Data!U$4:U$153),2,IF(Data!U113&lt;=QUARTILE(Data!U$4:U$153,3),3,4)))</f>
        <v>2</v>
      </c>
      <c r="V113" s="8">
        <f>IF(Data!V113&lt;=QUARTILE(Data!V$4:V$153,1),1,IF(Data!V113&lt;=MEDIAN(Data!V$4:V$153),2,IF(Data!V113&lt;=QUARTILE(Data!V$4:V$153,3),3,4)))</f>
        <v>1</v>
      </c>
      <c r="W113" s="8">
        <f>IF(Data!W113&lt;=QUARTILE(Data!W$4:W$153,1),1,IF(Data!W113&lt;=MEDIAN(Data!W$4:W$153),2,IF(Data!W113&lt;=QUARTILE(Data!W$4:W$153,3),3,4)))</f>
        <v>4</v>
      </c>
      <c r="X113" s="8">
        <f>IF(Data!X113&lt;=QUARTILE(Data!X$4:X$153,1),1,IF(Data!X113&lt;=MEDIAN(Data!X$4:X$153),2,IF(Data!X113&lt;=QUARTILE(Data!X$4:X$153,3),3,4)))</f>
        <v>3</v>
      </c>
      <c r="Y113" s="8">
        <f>IF(Data!Y113&lt;=QUARTILE(Data!Y$4:Y$153,1),1,IF(Data!Y113&lt;=MEDIAN(Data!Y$4:Y$153),2,IF(Data!Y113&lt;=QUARTILE(Data!Y$4:Y$153,3),3,4)))</f>
        <v>4</v>
      </c>
      <c r="Z113" s="8">
        <f>IF(Data!Z113&lt;=QUARTILE(Data!Z$4:Z$153,1),1,IF(Data!Z113&lt;=MEDIAN(Data!Z$4:Z$153),2,IF(Data!Z113&lt;=QUARTILE(Data!Z$4:Z$153,3),3,4)))</f>
        <v>4</v>
      </c>
      <c r="AA113" s="8">
        <f>IF(Data!AA113&lt;=QUARTILE(Data!AA$4:AA$153,1),1,IF(Data!AA113&lt;=MEDIAN(Data!AA$4:AA$153),2,IF(Data!AA113&lt;=QUARTILE(Data!AA$4:AA$153,3),3,4)))</f>
        <v>2</v>
      </c>
      <c r="AB113" s="8">
        <f>IF(Data!AB113&lt;=QUARTILE(Data!AB$4:AB$153,1),1,IF(Data!AB113&lt;=MEDIAN(Data!AB$4:AB$153),2,IF(Data!AB113&lt;=QUARTILE(Data!AB$4:AB$153,3),3,4)))</f>
        <v>1</v>
      </c>
      <c r="AC113" s="8">
        <f>IF(Data!AC113&lt;=QUARTILE(Data!AC$4:AC$153,1),1,IF(Data!AC113&lt;=MEDIAN(Data!AC$4:AC$153),2,IF(Data!AC113&lt;=QUARTILE(Data!AC$4:AC$153,3),3,4)))</f>
        <v>3</v>
      </c>
      <c r="AD113" s="8">
        <f>IF(Data!AD113&lt;=QUARTILE(Data!AD$4:AD$153,1),1,IF(Data!AD113&lt;=MEDIAN(Data!AD$4:AD$153),2,IF(Data!AD113&lt;=QUARTILE(Data!AD$4:AD$153,3),3,4)))</f>
        <v>4</v>
      </c>
      <c r="AE113" s="8">
        <f>IF(Data!AE113&lt;=QUARTILE(Data!AE$4:AE$153,1),1,IF(Data!AE113&lt;=MEDIAN(Data!AE$4:AE$153),2,IF(Data!AE113&lt;=QUARTILE(Data!AE$4:AE$153,3),3,4)))</f>
        <v>4</v>
      </c>
      <c r="AF113" s="8">
        <f>IF(Data!AF113&lt;=QUARTILE(Data!AF$4:AF$153,1),1,IF(Data!AF113&lt;=MEDIAN(Data!AF$4:AF$153),2,IF(Data!AF113&lt;=QUARTILE(Data!AF$4:AF$153,3),3,4)))</f>
        <v>2</v>
      </c>
      <c r="AG113" s="8">
        <f>IF(Data!AG113&lt;=QUARTILE(Data!AG$4:AG$153,1),1,IF(Data!AG113&lt;=MEDIAN(Data!AG$4:AG$153),2,IF(Data!AG113&lt;=QUARTILE(Data!AG$4:AG$153,3),3,4)))</f>
        <v>4</v>
      </c>
      <c r="AH113" s="9">
        <f>IF(Data!AH113&lt;=QUARTILE(Data!AH$4:AH$153,1),1,IF(Data!AH113&lt;=MEDIAN(Data!AH$4:AH$153),2,IF(Data!AH113&lt;=QUARTILE(Data!AH$4:AH$153,3),3,4)))</f>
        <v>4</v>
      </c>
    </row>
    <row r="114" spans="1:34" x14ac:dyDescent="0.25">
      <c r="A114" s="7" t="s">
        <v>66</v>
      </c>
      <c r="B114" s="14" t="s">
        <v>68</v>
      </c>
      <c r="C114" s="7">
        <v>36</v>
      </c>
      <c r="D114" s="8">
        <v>46</v>
      </c>
      <c r="E114" s="42" t="s">
        <v>59</v>
      </c>
      <c r="F114" s="9">
        <v>-1.26</v>
      </c>
      <c r="G114" s="7">
        <f>IF(Data!G114&lt;=QUARTILE(Data!G$4:G$153,1),1,IF(Data!G114&lt;=MEDIAN(Data!G$4:G$153),2,IF(Data!G114&lt;=QUARTILE(Data!G$4:G$153,3),3,4)))</f>
        <v>1</v>
      </c>
      <c r="H114" s="8">
        <f>IF(Data!H114&lt;=QUARTILE(Data!H$4:H$153,1),1,IF(Data!H114&lt;=MEDIAN(Data!H$4:H$153),2,IF(Data!H114&lt;=QUARTILE(Data!H$4:H$153,3),3,4)))</f>
        <v>1</v>
      </c>
      <c r="I114" s="8">
        <f>IF(Data!I114&lt;=QUARTILE(Data!I$4:I$153,1),1,IF(Data!I114&lt;=MEDIAN(Data!I$4:I$153),2,IF(Data!I114&lt;=QUARTILE(Data!I$4:I$153,3),3,4)))</f>
        <v>1</v>
      </c>
      <c r="J114" s="8">
        <f>IF(Data!J114&lt;=QUARTILE(Data!J$4:J$153,1),1,IF(Data!J114&lt;=MEDIAN(Data!J$4:J$153),2,IF(Data!J114&lt;=QUARTILE(Data!J$4:J$153,3),3,4)))</f>
        <v>1</v>
      </c>
      <c r="K114" s="8">
        <f>IF(Data!K114&lt;=QUARTILE(Data!K$4:K$153,1),1,IF(Data!K114&lt;=MEDIAN(Data!K$4:K$153),2,IF(Data!K114&lt;=QUARTILE(Data!K$4:K$153,3),3,4)))</f>
        <v>3</v>
      </c>
      <c r="L114" s="8">
        <f>IF(Data!L114&lt;=QUARTILE(Data!L$4:L$153,1),1,IF(Data!L114&lt;=MEDIAN(Data!L$4:L$153),2,IF(Data!L114&lt;=QUARTILE(Data!L$4:L$153,3),3,4)))</f>
        <v>4</v>
      </c>
      <c r="M114" s="8">
        <f>IF(Data!M114&lt;=QUARTILE(Data!M$4:M$153,1),1,IF(Data!M114&lt;=MEDIAN(Data!M$4:M$153),2,IF(Data!M114&lt;=QUARTILE(Data!M$4:M$153,3),3,4)))</f>
        <v>2</v>
      </c>
      <c r="N114" s="8">
        <f>IF(Data!N114&lt;=QUARTILE(Data!N$4:N$153,1),1,IF(Data!N114&lt;=MEDIAN(Data!N$4:N$153),2,IF(Data!N114&lt;=QUARTILE(Data!N$4:N$153,3),3,4)))</f>
        <v>2</v>
      </c>
      <c r="O114" s="8">
        <f>IF(Data!O114&lt;=QUARTILE(Data!O$4:O$153,1),1,IF(Data!O114&lt;=MEDIAN(Data!O$4:O$153),2,IF(Data!O114&lt;=QUARTILE(Data!O$4:O$153,3),3,4)))</f>
        <v>1</v>
      </c>
      <c r="P114" s="8">
        <f>IF(Data!P114&lt;=QUARTILE(Data!P$4:P$153,1),1,IF(Data!P114&lt;=MEDIAN(Data!P$4:P$153),2,IF(Data!P114&lt;=QUARTILE(Data!P$4:P$153,3),3,4)))</f>
        <v>1</v>
      </c>
      <c r="Q114" s="8">
        <f>IF(Data!Q114&lt;=QUARTILE(Data!Q$4:Q$153,1),1,IF(Data!Q114&lt;=MEDIAN(Data!Q$4:Q$153),2,IF(Data!Q114&lt;=QUARTILE(Data!Q$4:Q$153,3),3,4)))</f>
        <v>2</v>
      </c>
      <c r="R114" s="8">
        <f>IF(Data!R114&lt;=QUARTILE(Data!R$4:R$153,1),1,IF(Data!R114&lt;=MEDIAN(Data!R$4:R$153),2,IF(Data!R114&lt;=QUARTILE(Data!R$4:R$153,3),3,4)))</f>
        <v>3</v>
      </c>
      <c r="S114" s="8">
        <f>IF(Data!S114&lt;=QUARTILE(Data!S$4:S$153,1),1,IF(Data!S114&lt;=MEDIAN(Data!S$4:S$153),2,IF(Data!S114&lt;=QUARTILE(Data!S$4:S$153,3),3,4)))</f>
        <v>4</v>
      </c>
      <c r="T114" s="9">
        <f>IF(Data!T114&lt;=QUARTILE(Data!T$4:T$153,1),1,IF(Data!T114&lt;=MEDIAN(Data!T$4:T$153),2,IF(Data!T114&lt;=QUARTILE(Data!T$4:T$153,3),3,4)))</f>
        <v>1</v>
      </c>
      <c r="U114" s="7">
        <f>IF(Data!U114&lt;=QUARTILE(Data!U$4:U$153,1),1,IF(Data!U114&lt;=MEDIAN(Data!U$4:U$153),2,IF(Data!U114&lt;=QUARTILE(Data!U$4:U$153,3),3,4)))</f>
        <v>1</v>
      </c>
      <c r="V114" s="8">
        <f>IF(Data!V114&lt;=QUARTILE(Data!V$4:V$153,1),1,IF(Data!V114&lt;=MEDIAN(Data!V$4:V$153),2,IF(Data!V114&lt;=QUARTILE(Data!V$4:V$153,3),3,4)))</f>
        <v>1</v>
      </c>
      <c r="W114" s="8">
        <f>IF(Data!W114&lt;=QUARTILE(Data!W$4:W$153,1),1,IF(Data!W114&lt;=MEDIAN(Data!W$4:W$153),2,IF(Data!W114&lt;=QUARTILE(Data!W$4:W$153,3),3,4)))</f>
        <v>2</v>
      </c>
      <c r="X114" s="8">
        <f>IF(Data!X114&lt;=QUARTILE(Data!X$4:X$153,1),1,IF(Data!X114&lt;=MEDIAN(Data!X$4:X$153),2,IF(Data!X114&lt;=QUARTILE(Data!X$4:X$153,3),3,4)))</f>
        <v>1</v>
      </c>
      <c r="Y114" s="8">
        <f>IF(Data!Y114&lt;=QUARTILE(Data!Y$4:Y$153,1),1,IF(Data!Y114&lt;=MEDIAN(Data!Y$4:Y$153),2,IF(Data!Y114&lt;=QUARTILE(Data!Y$4:Y$153,3),3,4)))</f>
        <v>3</v>
      </c>
      <c r="Z114" s="8">
        <f>IF(Data!Z114&lt;=QUARTILE(Data!Z$4:Z$153,1),1,IF(Data!Z114&lt;=MEDIAN(Data!Z$4:Z$153),2,IF(Data!Z114&lt;=QUARTILE(Data!Z$4:Z$153,3),3,4)))</f>
        <v>4</v>
      </c>
      <c r="AA114" s="8">
        <f>IF(Data!AA114&lt;=QUARTILE(Data!AA$4:AA$153,1),1,IF(Data!AA114&lt;=MEDIAN(Data!AA$4:AA$153),2,IF(Data!AA114&lt;=QUARTILE(Data!AA$4:AA$153,3),3,4)))</f>
        <v>2</v>
      </c>
      <c r="AB114" s="8">
        <f>IF(Data!AB114&lt;=QUARTILE(Data!AB$4:AB$153,1),1,IF(Data!AB114&lt;=MEDIAN(Data!AB$4:AB$153),2,IF(Data!AB114&lt;=QUARTILE(Data!AB$4:AB$153,3),3,4)))</f>
        <v>1</v>
      </c>
      <c r="AC114" s="8">
        <f>IF(Data!AC114&lt;=QUARTILE(Data!AC$4:AC$153,1),1,IF(Data!AC114&lt;=MEDIAN(Data!AC$4:AC$153),2,IF(Data!AC114&lt;=QUARTILE(Data!AC$4:AC$153,3),3,4)))</f>
        <v>2</v>
      </c>
      <c r="AD114" s="8">
        <f>IF(Data!AD114&lt;=QUARTILE(Data!AD$4:AD$153,1),1,IF(Data!AD114&lt;=MEDIAN(Data!AD$4:AD$153),2,IF(Data!AD114&lt;=QUARTILE(Data!AD$4:AD$153,3),3,4)))</f>
        <v>3</v>
      </c>
      <c r="AE114" s="8">
        <f>IF(Data!AE114&lt;=QUARTILE(Data!AE$4:AE$153,1),1,IF(Data!AE114&lt;=MEDIAN(Data!AE$4:AE$153),2,IF(Data!AE114&lt;=QUARTILE(Data!AE$4:AE$153,3),3,4)))</f>
        <v>2</v>
      </c>
      <c r="AF114" s="8">
        <f>IF(Data!AF114&lt;=QUARTILE(Data!AF$4:AF$153,1),1,IF(Data!AF114&lt;=MEDIAN(Data!AF$4:AF$153),2,IF(Data!AF114&lt;=QUARTILE(Data!AF$4:AF$153,3),3,4)))</f>
        <v>1</v>
      </c>
      <c r="AG114" s="8">
        <f>IF(Data!AG114&lt;=QUARTILE(Data!AG$4:AG$153,1),1,IF(Data!AG114&lt;=MEDIAN(Data!AG$4:AG$153),2,IF(Data!AG114&lt;=QUARTILE(Data!AG$4:AG$153,3),3,4)))</f>
        <v>4</v>
      </c>
      <c r="AH114" s="9">
        <f>IF(Data!AH114&lt;=QUARTILE(Data!AH$4:AH$153,1),1,IF(Data!AH114&lt;=MEDIAN(Data!AH$4:AH$153),2,IF(Data!AH114&lt;=QUARTILE(Data!AH$4:AH$153,3),3,4)))</f>
        <v>2</v>
      </c>
    </row>
    <row r="115" spans="1:34" x14ac:dyDescent="0.25">
      <c r="A115" s="7" t="s">
        <v>63</v>
      </c>
      <c r="B115" s="14" t="s">
        <v>68</v>
      </c>
      <c r="C115" s="7">
        <v>38</v>
      </c>
      <c r="D115" s="8">
        <v>44</v>
      </c>
      <c r="E115" s="42" t="s">
        <v>59</v>
      </c>
      <c r="F115" s="9">
        <v>-2.11</v>
      </c>
      <c r="G115" s="7">
        <f>IF(Data!G115&lt;=QUARTILE(Data!G$4:G$153,1),1,IF(Data!G115&lt;=MEDIAN(Data!G$4:G$153),2,IF(Data!G115&lt;=QUARTILE(Data!G$4:G$153,3),3,4)))</f>
        <v>3</v>
      </c>
      <c r="H115" s="8">
        <f>IF(Data!H115&lt;=QUARTILE(Data!H$4:H$153,1),1,IF(Data!H115&lt;=MEDIAN(Data!H$4:H$153),2,IF(Data!H115&lt;=QUARTILE(Data!H$4:H$153,3),3,4)))</f>
        <v>2</v>
      </c>
      <c r="I115" s="8">
        <f>IF(Data!I115&lt;=QUARTILE(Data!I$4:I$153,1),1,IF(Data!I115&lt;=MEDIAN(Data!I$4:I$153),2,IF(Data!I115&lt;=QUARTILE(Data!I$4:I$153,3),3,4)))</f>
        <v>1</v>
      </c>
      <c r="J115" s="8">
        <f>IF(Data!J115&lt;=QUARTILE(Data!J$4:J$153,1),1,IF(Data!J115&lt;=MEDIAN(Data!J$4:J$153),2,IF(Data!J115&lt;=QUARTILE(Data!J$4:J$153,3),3,4)))</f>
        <v>1</v>
      </c>
      <c r="K115" s="8">
        <f>IF(Data!K115&lt;=QUARTILE(Data!K$4:K$153,1),1,IF(Data!K115&lt;=MEDIAN(Data!K$4:K$153),2,IF(Data!K115&lt;=QUARTILE(Data!K$4:K$153,3),3,4)))</f>
        <v>4</v>
      </c>
      <c r="L115" s="8">
        <f>IF(Data!L115&lt;=QUARTILE(Data!L$4:L$153,1),1,IF(Data!L115&lt;=MEDIAN(Data!L$4:L$153),2,IF(Data!L115&lt;=QUARTILE(Data!L$4:L$153,3),3,4)))</f>
        <v>4</v>
      </c>
      <c r="M115" s="8">
        <f>IF(Data!M115&lt;=QUARTILE(Data!M$4:M$153,1),1,IF(Data!M115&lt;=MEDIAN(Data!M$4:M$153),2,IF(Data!M115&lt;=QUARTILE(Data!M$4:M$153,3),3,4)))</f>
        <v>2</v>
      </c>
      <c r="N115" s="8">
        <f>IF(Data!N115&lt;=QUARTILE(Data!N$4:N$153,1),1,IF(Data!N115&lt;=MEDIAN(Data!N$4:N$153),2,IF(Data!N115&lt;=QUARTILE(Data!N$4:N$153,3),3,4)))</f>
        <v>2</v>
      </c>
      <c r="O115" s="8">
        <f>IF(Data!O115&lt;=QUARTILE(Data!O$4:O$153,1),1,IF(Data!O115&lt;=MEDIAN(Data!O$4:O$153),2,IF(Data!O115&lt;=QUARTILE(Data!O$4:O$153,3),3,4)))</f>
        <v>2</v>
      </c>
      <c r="P115" s="8">
        <f>IF(Data!P115&lt;=QUARTILE(Data!P$4:P$153,1),1,IF(Data!P115&lt;=MEDIAN(Data!P$4:P$153),2,IF(Data!P115&lt;=QUARTILE(Data!P$4:P$153,3),3,4)))</f>
        <v>4</v>
      </c>
      <c r="Q115" s="8">
        <f>IF(Data!Q115&lt;=QUARTILE(Data!Q$4:Q$153,1),1,IF(Data!Q115&lt;=MEDIAN(Data!Q$4:Q$153),2,IF(Data!Q115&lt;=QUARTILE(Data!Q$4:Q$153,3),3,4)))</f>
        <v>3</v>
      </c>
      <c r="R115" s="8">
        <f>IF(Data!R115&lt;=QUARTILE(Data!R$4:R$153,1),1,IF(Data!R115&lt;=MEDIAN(Data!R$4:R$153),2,IF(Data!R115&lt;=QUARTILE(Data!R$4:R$153,3),3,4)))</f>
        <v>2</v>
      </c>
      <c r="S115" s="8">
        <f>IF(Data!S115&lt;=QUARTILE(Data!S$4:S$153,1),1,IF(Data!S115&lt;=MEDIAN(Data!S$4:S$153),2,IF(Data!S115&lt;=QUARTILE(Data!S$4:S$153,3),3,4)))</f>
        <v>2</v>
      </c>
      <c r="T115" s="9">
        <f>IF(Data!T115&lt;=QUARTILE(Data!T$4:T$153,1),1,IF(Data!T115&lt;=MEDIAN(Data!T$4:T$153),2,IF(Data!T115&lt;=QUARTILE(Data!T$4:T$153,3),3,4)))</f>
        <v>3</v>
      </c>
      <c r="U115" s="7">
        <f>IF(Data!U115&lt;=QUARTILE(Data!U$4:U$153,1),1,IF(Data!U115&lt;=MEDIAN(Data!U$4:U$153),2,IF(Data!U115&lt;=QUARTILE(Data!U$4:U$153,3),3,4)))</f>
        <v>3</v>
      </c>
      <c r="V115" s="8">
        <f>IF(Data!V115&lt;=QUARTILE(Data!V$4:V$153,1),1,IF(Data!V115&lt;=MEDIAN(Data!V$4:V$153),2,IF(Data!V115&lt;=QUARTILE(Data!V$4:V$153,3),3,4)))</f>
        <v>3</v>
      </c>
      <c r="W115" s="8">
        <f>IF(Data!W115&lt;=QUARTILE(Data!W$4:W$153,1),1,IF(Data!W115&lt;=MEDIAN(Data!W$4:W$153),2,IF(Data!W115&lt;=QUARTILE(Data!W$4:W$153,3),3,4)))</f>
        <v>2</v>
      </c>
      <c r="X115" s="8">
        <f>IF(Data!X115&lt;=QUARTILE(Data!X$4:X$153,1),1,IF(Data!X115&lt;=MEDIAN(Data!X$4:X$153),2,IF(Data!X115&lt;=QUARTILE(Data!X$4:X$153,3),3,4)))</f>
        <v>3</v>
      </c>
      <c r="Y115" s="8">
        <f>IF(Data!Y115&lt;=QUARTILE(Data!Y$4:Y$153,1),1,IF(Data!Y115&lt;=MEDIAN(Data!Y$4:Y$153),2,IF(Data!Y115&lt;=QUARTILE(Data!Y$4:Y$153,3),3,4)))</f>
        <v>3</v>
      </c>
      <c r="Z115" s="8">
        <f>IF(Data!Z115&lt;=QUARTILE(Data!Z$4:Z$153,1),1,IF(Data!Z115&lt;=MEDIAN(Data!Z$4:Z$153),2,IF(Data!Z115&lt;=QUARTILE(Data!Z$4:Z$153,3),3,4)))</f>
        <v>3</v>
      </c>
      <c r="AA115" s="8">
        <f>IF(Data!AA115&lt;=QUARTILE(Data!AA$4:AA$153,1),1,IF(Data!AA115&lt;=MEDIAN(Data!AA$4:AA$153),2,IF(Data!AA115&lt;=QUARTILE(Data!AA$4:AA$153,3),3,4)))</f>
        <v>4</v>
      </c>
      <c r="AB115" s="8">
        <f>IF(Data!AB115&lt;=QUARTILE(Data!AB$4:AB$153,1),1,IF(Data!AB115&lt;=MEDIAN(Data!AB$4:AB$153),2,IF(Data!AB115&lt;=QUARTILE(Data!AB$4:AB$153,3),3,4)))</f>
        <v>3</v>
      </c>
      <c r="AC115" s="8">
        <f>IF(Data!AC115&lt;=QUARTILE(Data!AC$4:AC$153,1),1,IF(Data!AC115&lt;=MEDIAN(Data!AC$4:AC$153),2,IF(Data!AC115&lt;=QUARTILE(Data!AC$4:AC$153,3),3,4)))</f>
        <v>4</v>
      </c>
      <c r="AD115" s="8">
        <f>IF(Data!AD115&lt;=QUARTILE(Data!AD$4:AD$153,1),1,IF(Data!AD115&lt;=MEDIAN(Data!AD$4:AD$153),2,IF(Data!AD115&lt;=QUARTILE(Data!AD$4:AD$153,3),3,4)))</f>
        <v>3</v>
      </c>
      <c r="AE115" s="8">
        <f>IF(Data!AE115&lt;=QUARTILE(Data!AE$4:AE$153,1),1,IF(Data!AE115&lt;=MEDIAN(Data!AE$4:AE$153),2,IF(Data!AE115&lt;=QUARTILE(Data!AE$4:AE$153,3),3,4)))</f>
        <v>2</v>
      </c>
      <c r="AF115" s="8">
        <f>IF(Data!AF115&lt;=QUARTILE(Data!AF$4:AF$153,1),1,IF(Data!AF115&lt;=MEDIAN(Data!AF$4:AF$153),2,IF(Data!AF115&lt;=QUARTILE(Data!AF$4:AF$153,3),3,4)))</f>
        <v>4</v>
      </c>
      <c r="AG115" s="8">
        <f>IF(Data!AG115&lt;=QUARTILE(Data!AG$4:AG$153,1),1,IF(Data!AG115&lt;=MEDIAN(Data!AG$4:AG$153),2,IF(Data!AG115&lt;=QUARTILE(Data!AG$4:AG$153,3),3,4)))</f>
        <v>3</v>
      </c>
      <c r="AH115" s="9">
        <f>IF(Data!AH115&lt;=QUARTILE(Data!AH$4:AH$153,1),1,IF(Data!AH115&lt;=MEDIAN(Data!AH$4:AH$153),2,IF(Data!AH115&lt;=QUARTILE(Data!AH$4:AH$153,3),3,4)))</f>
        <v>3</v>
      </c>
    </row>
    <row r="116" spans="1:34" x14ac:dyDescent="0.25">
      <c r="A116" s="7" t="s">
        <v>16</v>
      </c>
      <c r="B116" s="14" t="s">
        <v>68</v>
      </c>
      <c r="C116" s="7">
        <v>54</v>
      </c>
      <c r="D116" s="8">
        <v>28</v>
      </c>
      <c r="E116" s="42" t="s">
        <v>58</v>
      </c>
      <c r="F116" s="9">
        <v>5.48</v>
      </c>
      <c r="G116" s="7">
        <f>IF(Data!G116&lt;=QUARTILE(Data!G$4:G$153,1),1,IF(Data!G116&lt;=MEDIAN(Data!G$4:G$153),2,IF(Data!G116&lt;=QUARTILE(Data!G$4:G$153,3),3,4)))</f>
        <v>4</v>
      </c>
      <c r="H116" s="8">
        <f>IF(Data!H116&lt;=QUARTILE(Data!H$4:H$153,1),1,IF(Data!H116&lt;=MEDIAN(Data!H$4:H$153),2,IF(Data!H116&lt;=QUARTILE(Data!H$4:H$153,3),3,4)))</f>
        <v>4</v>
      </c>
      <c r="I116" s="8">
        <f>IF(Data!I116&lt;=QUARTILE(Data!I$4:I$153,1),1,IF(Data!I116&lt;=MEDIAN(Data!I$4:I$153),2,IF(Data!I116&lt;=QUARTILE(Data!I$4:I$153,3),3,4)))</f>
        <v>4</v>
      </c>
      <c r="J116" s="8">
        <f>IF(Data!J116&lt;=QUARTILE(Data!J$4:J$153,1),1,IF(Data!J116&lt;=MEDIAN(Data!J$4:J$153),2,IF(Data!J116&lt;=QUARTILE(Data!J$4:J$153,3),3,4)))</f>
        <v>4</v>
      </c>
      <c r="K116" s="8">
        <f>IF(Data!K116&lt;=QUARTILE(Data!K$4:K$153,1),1,IF(Data!K116&lt;=MEDIAN(Data!K$4:K$153),2,IF(Data!K116&lt;=QUARTILE(Data!K$4:K$153,3),3,4)))</f>
        <v>1</v>
      </c>
      <c r="L116" s="8">
        <f>IF(Data!L116&lt;=QUARTILE(Data!L$4:L$153,1),1,IF(Data!L116&lt;=MEDIAN(Data!L$4:L$153),2,IF(Data!L116&lt;=QUARTILE(Data!L$4:L$153,3),3,4)))</f>
        <v>1</v>
      </c>
      <c r="M116" s="8">
        <f>IF(Data!M116&lt;=QUARTILE(Data!M$4:M$153,1),1,IF(Data!M116&lt;=MEDIAN(Data!M$4:M$153),2,IF(Data!M116&lt;=QUARTILE(Data!M$4:M$153,3),3,4)))</f>
        <v>1</v>
      </c>
      <c r="N116" s="8">
        <f>IF(Data!N116&lt;=QUARTILE(Data!N$4:N$153,1),1,IF(Data!N116&lt;=MEDIAN(Data!N$4:N$153),2,IF(Data!N116&lt;=QUARTILE(Data!N$4:N$153,3),3,4)))</f>
        <v>4</v>
      </c>
      <c r="O116" s="8">
        <f>IF(Data!O116&lt;=QUARTILE(Data!O$4:O$153,1),1,IF(Data!O116&lt;=MEDIAN(Data!O$4:O$153),2,IF(Data!O116&lt;=QUARTILE(Data!O$4:O$153,3),3,4)))</f>
        <v>4</v>
      </c>
      <c r="P116" s="8">
        <f>IF(Data!P116&lt;=QUARTILE(Data!P$4:P$153,1),1,IF(Data!P116&lt;=MEDIAN(Data!P$4:P$153),2,IF(Data!P116&lt;=QUARTILE(Data!P$4:P$153,3),3,4)))</f>
        <v>1</v>
      </c>
      <c r="Q116" s="8">
        <f>IF(Data!Q116&lt;=QUARTILE(Data!Q$4:Q$153,1),1,IF(Data!Q116&lt;=MEDIAN(Data!Q$4:Q$153),2,IF(Data!Q116&lt;=QUARTILE(Data!Q$4:Q$153,3),3,4)))</f>
        <v>3</v>
      </c>
      <c r="R116" s="8">
        <f>IF(Data!R116&lt;=QUARTILE(Data!R$4:R$153,1),1,IF(Data!R116&lt;=MEDIAN(Data!R$4:R$153),2,IF(Data!R116&lt;=QUARTILE(Data!R$4:R$153,3),3,4)))</f>
        <v>1</v>
      </c>
      <c r="S116" s="8">
        <f>IF(Data!S116&lt;=QUARTILE(Data!S$4:S$153,1),1,IF(Data!S116&lt;=MEDIAN(Data!S$4:S$153),2,IF(Data!S116&lt;=QUARTILE(Data!S$4:S$153,3),3,4)))</f>
        <v>1</v>
      </c>
      <c r="T116" s="9">
        <f>IF(Data!T116&lt;=QUARTILE(Data!T$4:T$153,1),1,IF(Data!T116&lt;=MEDIAN(Data!T$4:T$153),2,IF(Data!T116&lt;=QUARTILE(Data!T$4:T$153,3),3,4)))</f>
        <v>4</v>
      </c>
      <c r="U116" s="7">
        <f>IF(Data!U116&lt;=QUARTILE(Data!U$4:U$153,1),1,IF(Data!U116&lt;=MEDIAN(Data!U$4:U$153),2,IF(Data!U116&lt;=QUARTILE(Data!U$4:U$153,3),3,4)))</f>
        <v>4</v>
      </c>
      <c r="V116" s="8">
        <f>IF(Data!V116&lt;=QUARTILE(Data!V$4:V$153,1),1,IF(Data!V116&lt;=MEDIAN(Data!V$4:V$153),2,IF(Data!V116&lt;=QUARTILE(Data!V$4:V$153,3),3,4)))</f>
        <v>4</v>
      </c>
      <c r="W116" s="8">
        <f>IF(Data!W116&lt;=QUARTILE(Data!W$4:W$153,1),1,IF(Data!W116&lt;=MEDIAN(Data!W$4:W$153),2,IF(Data!W116&lt;=QUARTILE(Data!W$4:W$153,3),3,4)))</f>
        <v>3</v>
      </c>
      <c r="X116" s="8">
        <f>IF(Data!X116&lt;=QUARTILE(Data!X$4:X$153,1),1,IF(Data!X116&lt;=MEDIAN(Data!X$4:X$153),2,IF(Data!X116&lt;=QUARTILE(Data!X$4:X$153,3),3,4)))</f>
        <v>3</v>
      </c>
      <c r="Y116" s="8">
        <f>IF(Data!Y116&lt;=QUARTILE(Data!Y$4:Y$153,1),1,IF(Data!Y116&lt;=MEDIAN(Data!Y$4:Y$153),2,IF(Data!Y116&lt;=QUARTILE(Data!Y$4:Y$153,3),3,4)))</f>
        <v>1</v>
      </c>
      <c r="Z116" s="8">
        <f>IF(Data!Z116&lt;=QUARTILE(Data!Z$4:Z$153,1),1,IF(Data!Z116&lt;=MEDIAN(Data!Z$4:Z$153),2,IF(Data!Z116&lt;=QUARTILE(Data!Z$4:Z$153,3),3,4)))</f>
        <v>2</v>
      </c>
      <c r="AA116" s="8">
        <f>IF(Data!AA116&lt;=QUARTILE(Data!AA$4:AA$153,1),1,IF(Data!AA116&lt;=MEDIAN(Data!AA$4:AA$153),2,IF(Data!AA116&lt;=QUARTILE(Data!AA$4:AA$153,3),3,4)))</f>
        <v>4</v>
      </c>
      <c r="AB116" s="8">
        <f>IF(Data!AB116&lt;=QUARTILE(Data!AB$4:AB$153,1),1,IF(Data!AB116&lt;=MEDIAN(Data!AB$4:AB$153),2,IF(Data!AB116&lt;=QUARTILE(Data!AB$4:AB$153,3),3,4)))</f>
        <v>4</v>
      </c>
      <c r="AC116" s="8">
        <f>IF(Data!AC116&lt;=QUARTILE(Data!AC$4:AC$153,1),1,IF(Data!AC116&lt;=MEDIAN(Data!AC$4:AC$153),2,IF(Data!AC116&lt;=QUARTILE(Data!AC$4:AC$153,3),3,4)))</f>
        <v>1</v>
      </c>
      <c r="AD116" s="8">
        <f>IF(Data!AD116&lt;=QUARTILE(Data!AD$4:AD$153,1),1,IF(Data!AD116&lt;=MEDIAN(Data!AD$4:AD$153),2,IF(Data!AD116&lt;=QUARTILE(Data!AD$4:AD$153,3),3,4)))</f>
        <v>2</v>
      </c>
      <c r="AE116" s="8">
        <f>IF(Data!AE116&lt;=QUARTILE(Data!AE$4:AE$153,1),1,IF(Data!AE116&lt;=MEDIAN(Data!AE$4:AE$153),2,IF(Data!AE116&lt;=QUARTILE(Data!AE$4:AE$153,3),3,4)))</f>
        <v>1</v>
      </c>
      <c r="AF116" s="8">
        <f>IF(Data!AF116&lt;=QUARTILE(Data!AF$4:AF$153,1),1,IF(Data!AF116&lt;=MEDIAN(Data!AF$4:AF$153),2,IF(Data!AF116&lt;=QUARTILE(Data!AF$4:AF$153,3),3,4)))</f>
        <v>3</v>
      </c>
      <c r="AG116" s="8">
        <f>IF(Data!AG116&lt;=QUARTILE(Data!AG$4:AG$153,1),1,IF(Data!AG116&lt;=MEDIAN(Data!AG$4:AG$153),2,IF(Data!AG116&lt;=QUARTILE(Data!AG$4:AG$153,3),3,4)))</f>
        <v>1</v>
      </c>
      <c r="AH116" s="9">
        <f>IF(Data!AH116&lt;=QUARTILE(Data!AH$4:AH$153,1),1,IF(Data!AH116&lt;=MEDIAN(Data!AH$4:AH$153),2,IF(Data!AH116&lt;=QUARTILE(Data!AH$4:AH$153,3),3,4)))</f>
        <v>4</v>
      </c>
    </row>
    <row r="117" spans="1:34" x14ac:dyDescent="0.25">
      <c r="A117" s="7" t="s">
        <v>55</v>
      </c>
      <c r="B117" s="14" t="s">
        <v>68</v>
      </c>
      <c r="C117" s="7">
        <v>21</v>
      </c>
      <c r="D117" s="8">
        <v>61</v>
      </c>
      <c r="E117" s="42" t="s">
        <v>59</v>
      </c>
      <c r="F117" s="9">
        <v>-8.91</v>
      </c>
      <c r="G117" s="7">
        <f>IF(Data!G117&lt;=QUARTILE(Data!G$4:G$153,1),1,IF(Data!G117&lt;=MEDIAN(Data!G$4:G$153),2,IF(Data!G117&lt;=QUARTILE(Data!G$4:G$153,3),3,4)))</f>
        <v>1</v>
      </c>
      <c r="H117" s="8">
        <f>IF(Data!H117&lt;=QUARTILE(Data!H$4:H$153,1),1,IF(Data!H117&lt;=MEDIAN(Data!H$4:H$153),2,IF(Data!H117&lt;=QUARTILE(Data!H$4:H$153,3),3,4)))</f>
        <v>1</v>
      </c>
      <c r="I117" s="8">
        <f>IF(Data!I117&lt;=QUARTILE(Data!I$4:I$153,1),1,IF(Data!I117&lt;=MEDIAN(Data!I$4:I$153),2,IF(Data!I117&lt;=QUARTILE(Data!I$4:I$153,3),3,4)))</f>
        <v>1</v>
      </c>
      <c r="J117" s="8">
        <f>IF(Data!J117&lt;=QUARTILE(Data!J$4:J$153,1),1,IF(Data!J117&lt;=MEDIAN(Data!J$4:J$153),2,IF(Data!J117&lt;=QUARTILE(Data!J$4:J$153,3),3,4)))</f>
        <v>1</v>
      </c>
      <c r="K117" s="8">
        <f>IF(Data!K117&lt;=QUARTILE(Data!K$4:K$153,1),1,IF(Data!K117&lt;=MEDIAN(Data!K$4:K$153),2,IF(Data!K117&lt;=QUARTILE(Data!K$4:K$153,3),3,4)))</f>
        <v>1</v>
      </c>
      <c r="L117" s="8">
        <f>IF(Data!L117&lt;=QUARTILE(Data!L$4:L$153,1),1,IF(Data!L117&lt;=MEDIAN(Data!L$4:L$153),2,IF(Data!L117&lt;=QUARTILE(Data!L$4:L$153,3),3,4)))</f>
        <v>1</v>
      </c>
      <c r="M117" s="8">
        <f>IF(Data!M117&lt;=QUARTILE(Data!M$4:M$153,1),1,IF(Data!M117&lt;=MEDIAN(Data!M$4:M$153),2,IF(Data!M117&lt;=QUARTILE(Data!M$4:M$153,3),3,4)))</f>
        <v>2</v>
      </c>
      <c r="N117" s="8">
        <f>IF(Data!N117&lt;=QUARTILE(Data!N$4:N$153,1),1,IF(Data!N117&lt;=MEDIAN(Data!N$4:N$153),2,IF(Data!N117&lt;=QUARTILE(Data!N$4:N$153,3),3,4)))</f>
        <v>1</v>
      </c>
      <c r="O117" s="8">
        <f>IF(Data!O117&lt;=QUARTILE(Data!O$4:O$153,1),1,IF(Data!O117&lt;=MEDIAN(Data!O$4:O$153),2,IF(Data!O117&lt;=QUARTILE(Data!O$4:O$153,3),3,4)))</f>
        <v>1</v>
      </c>
      <c r="P117" s="8">
        <f>IF(Data!P117&lt;=QUARTILE(Data!P$4:P$153,1),1,IF(Data!P117&lt;=MEDIAN(Data!P$4:P$153),2,IF(Data!P117&lt;=QUARTILE(Data!P$4:P$153,3),3,4)))</f>
        <v>1</v>
      </c>
      <c r="Q117" s="8">
        <f>IF(Data!Q117&lt;=QUARTILE(Data!Q$4:Q$153,1),1,IF(Data!Q117&lt;=MEDIAN(Data!Q$4:Q$153),2,IF(Data!Q117&lt;=QUARTILE(Data!Q$4:Q$153,3),3,4)))</f>
        <v>3</v>
      </c>
      <c r="R117" s="8">
        <f>IF(Data!R117&lt;=QUARTILE(Data!R$4:R$153,1),1,IF(Data!R117&lt;=MEDIAN(Data!R$4:R$153),2,IF(Data!R117&lt;=QUARTILE(Data!R$4:R$153,3),3,4)))</f>
        <v>3</v>
      </c>
      <c r="S117" s="8">
        <f>IF(Data!S117&lt;=QUARTILE(Data!S$4:S$153,1),1,IF(Data!S117&lt;=MEDIAN(Data!S$4:S$153),2,IF(Data!S117&lt;=QUARTILE(Data!S$4:S$153,3),3,4)))</f>
        <v>3</v>
      </c>
      <c r="T117" s="9">
        <f>IF(Data!T117&lt;=QUARTILE(Data!T$4:T$153,1),1,IF(Data!T117&lt;=MEDIAN(Data!T$4:T$153),2,IF(Data!T117&lt;=QUARTILE(Data!T$4:T$153,3),3,4)))</f>
        <v>1</v>
      </c>
      <c r="U117" s="7">
        <f>IF(Data!U117&lt;=QUARTILE(Data!U$4:U$153,1),1,IF(Data!U117&lt;=MEDIAN(Data!U$4:U$153),2,IF(Data!U117&lt;=QUARTILE(Data!U$4:U$153,3),3,4)))</f>
        <v>3</v>
      </c>
      <c r="V117" s="8">
        <f>IF(Data!V117&lt;=QUARTILE(Data!V$4:V$153,1),1,IF(Data!V117&lt;=MEDIAN(Data!V$4:V$153),2,IF(Data!V117&lt;=QUARTILE(Data!V$4:V$153,3),3,4)))</f>
        <v>2</v>
      </c>
      <c r="W117" s="8">
        <f>IF(Data!W117&lt;=QUARTILE(Data!W$4:W$153,1),1,IF(Data!W117&lt;=MEDIAN(Data!W$4:W$153),2,IF(Data!W117&lt;=QUARTILE(Data!W$4:W$153,3),3,4)))</f>
        <v>2</v>
      </c>
      <c r="X117" s="8">
        <f>IF(Data!X117&lt;=QUARTILE(Data!X$4:X$153,1),1,IF(Data!X117&lt;=MEDIAN(Data!X$4:X$153),2,IF(Data!X117&lt;=QUARTILE(Data!X$4:X$153,3),3,4)))</f>
        <v>2</v>
      </c>
      <c r="Y117" s="8">
        <f>IF(Data!Y117&lt;=QUARTILE(Data!Y$4:Y$153,1),1,IF(Data!Y117&lt;=MEDIAN(Data!Y$4:Y$153),2,IF(Data!Y117&lt;=QUARTILE(Data!Y$4:Y$153,3),3,4)))</f>
        <v>2</v>
      </c>
      <c r="Z117" s="8">
        <f>IF(Data!Z117&lt;=QUARTILE(Data!Z$4:Z$153,1),1,IF(Data!Z117&lt;=MEDIAN(Data!Z$4:Z$153),2,IF(Data!Z117&lt;=QUARTILE(Data!Z$4:Z$153,3),3,4)))</f>
        <v>2</v>
      </c>
      <c r="AA117" s="8">
        <f>IF(Data!AA117&lt;=QUARTILE(Data!AA$4:AA$153,1),1,IF(Data!AA117&lt;=MEDIAN(Data!AA$4:AA$153),2,IF(Data!AA117&lt;=QUARTILE(Data!AA$4:AA$153,3),3,4)))</f>
        <v>4</v>
      </c>
      <c r="AB117" s="8">
        <f>IF(Data!AB117&lt;=QUARTILE(Data!AB$4:AB$153,1),1,IF(Data!AB117&lt;=MEDIAN(Data!AB$4:AB$153),2,IF(Data!AB117&lt;=QUARTILE(Data!AB$4:AB$153,3),3,4)))</f>
        <v>2</v>
      </c>
      <c r="AC117" s="8">
        <f>IF(Data!AC117&lt;=QUARTILE(Data!AC$4:AC$153,1),1,IF(Data!AC117&lt;=MEDIAN(Data!AC$4:AC$153),2,IF(Data!AC117&lt;=QUARTILE(Data!AC$4:AC$153,3),3,4)))</f>
        <v>2</v>
      </c>
      <c r="AD117" s="8">
        <f>IF(Data!AD117&lt;=QUARTILE(Data!AD$4:AD$153,1),1,IF(Data!AD117&lt;=MEDIAN(Data!AD$4:AD$153),2,IF(Data!AD117&lt;=QUARTILE(Data!AD$4:AD$153,3),3,4)))</f>
        <v>2</v>
      </c>
      <c r="AE117" s="8">
        <f>IF(Data!AE117&lt;=QUARTILE(Data!AE$4:AE$153,1),1,IF(Data!AE117&lt;=MEDIAN(Data!AE$4:AE$153),2,IF(Data!AE117&lt;=QUARTILE(Data!AE$4:AE$153,3),3,4)))</f>
        <v>3</v>
      </c>
      <c r="AF117" s="8">
        <f>IF(Data!AF117&lt;=QUARTILE(Data!AF$4:AF$153,1),1,IF(Data!AF117&lt;=MEDIAN(Data!AF$4:AF$153),2,IF(Data!AF117&lt;=QUARTILE(Data!AF$4:AF$153,3),3,4)))</f>
        <v>1</v>
      </c>
      <c r="AG117" s="8">
        <f>IF(Data!AG117&lt;=QUARTILE(Data!AG$4:AG$153,1),1,IF(Data!AG117&lt;=MEDIAN(Data!AG$4:AG$153),2,IF(Data!AG117&lt;=QUARTILE(Data!AG$4:AG$153,3),3,4)))</f>
        <v>1</v>
      </c>
      <c r="AH117" s="9">
        <f>IF(Data!AH117&lt;=QUARTILE(Data!AH$4:AH$153,1),1,IF(Data!AH117&lt;=MEDIAN(Data!AH$4:AH$153),2,IF(Data!AH117&lt;=QUARTILE(Data!AH$4:AH$153,3),3,4)))</f>
        <v>2</v>
      </c>
    </row>
    <row r="118" spans="1:34" x14ac:dyDescent="0.25">
      <c r="A118" s="7" t="s">
        <v>20</v>
      </c>
      <c r="B118" s="14" t="s">
        <v>68</v>
      </c>
      <c r="C118" s="7">
        <v>44</v>
      </c>
      <c r="D118" s="8">
        <v>38</v>
      </c>
      <c r="E118" s="42" t="s">
        <v>58</v>
      </c>
      <c r="F118" s="9">
        <v>1.61</v>
      </c>
      <c r="G118" s="7">
        <f>IF(Data!G118&lt;=QUARTILE(Data!G$4:G$153,1),1,IF(Data!G118&lt;=MEDIAN(Data!G$4:G$153),2,IF(Data!G118&lt;=QUARTILE(Data!G$4:G$153,3),3,4)))</f>
        <v>2</v>
      </c>
      <c r="H118" s="8">
        <f>IF(Data!H118&lt;=QUARTILE(Data!H$4:H$153,1),1,IF(Data!H118&lt;=MEDIAN(Data!H$4:H$153),2,IF(Data!H118&lt;=QUARTILE(Data!H$4:H$153,3),3,4)))</f>
        <v>2</v>
      </c>
      <c r="I118" s="8">
        <f>IF(Data!I118&lt;=QUARTILE(Data!I$4:I$153,1),1,IF(Data!I118&lt;=MEDIAN(Data!I$4:I$153),2,IF(Data!I118&lt;=QUARTILE(Data!I$4:I$153,3),3,4)))</f>
        <v>2</v>
      </c>
      <c r="J118" s="8">
        <f>IF(Data!J118&lt;=QUARTILE(Data!J$4:J$153,1),1,IF(Data!J118&lt;=MEDIAN(Data!J$4:J$153),2,IF(Data!J118&lt;=QUARTILE(Data!J$4:J$153,3),3,4)))</f>
        <v>2</v>
      </c>
      <c r="K118" s="8">
        <f>IF(Data!K118&lt;=QUARTILE(Data!K$4:K$153,1),1,IF(Data!K118&lt;=MEDIAN(Data!K$4:K$153),2,IF(Data!K118&lt;=QUARTILE(Data!K$4:K$153,3),3,4)))</f>
        <v>4</v>
      </c>
      <c r="L118" s="8">
        <f>IF(Data!L118&lt;=QUARTILE(Data!L$4:L$153,1),1,IF(Data!L118&lt;=MEDIAN(Data!L$4:L$153),2,IF(Data!L118&lt;=QUARTILE(Data!L$4:L$153,3),3,4)))</f>
        <v>3</v>
      </c>
      <c r="M118" s="8">
        <f>IF(Data!M118&lt;=QUARTILE(Data!M$4:M$153,1),1,IF(Data!M118&lt;=MEDIAN(Data!M$4:M$153),2,IF(Data!M118&lt;=QUARTILE(Data!M$4:M$153,3),3,4)))</f>
        <v>1</v>
      </c>
      <c r="N118" s="8">
        <f>IF(Data!N118&lt;=QUARTILE(Data!N$4:N$153,1),1,IF(Data!N118&lt;=MEDIAN(Data!N$4:N$153),2,IF(Data!N118&lt;=QUARTILE(Data!N$4:N$153,3),3,4)))</f>
        <v>3</v>
      </c>
      <c r="O118" s="8">
        <f>IF(Data!O118&lt;=QUARTILE(Data!O$4:O$153,1),1,IF(Data!O118&lt;=MEDIAN(Data!O$4:O$153),2,IF(Data!O118&lt;=QUARTILE(Data!O$4:O$153,3),3,4)))</f>
        <v>4</v>
      </c>
      <c r="P118" s="8">
        <f>IF(Data!P118&lt;=QUARTILE(Data!P$4:P$153,1),1,IF(Data!P118&lt;=MEDIAN(Data!P$4:P$153),2,IF(Data!P118&lt;=QUARTILE(Data!P$4:P$153,3),3,4)))</f>
        <v>3</v>
      </c>
      <c r="Q118" s="8">
        <f>IF(Data!Q118&lt;=QUARTILE(Data!Q$4:Q$153,1),1,IF(Data!Q118&lt;=MEDIAN(Data!Q$4:Q$153),2,IF(Data!Q118&lt;=QUARTILE(Data!Q$4:Q$153,3),3,4)))</f>
        <v>1</v>
      </c>
      <c r="R118" s="8">
        <f>IF(Data!R118&lt;=QUARTILE(Data!R$4:R$153,1),1,IF(Data!R118&lt;=MEDIAN(Data!R$4:R$153),2,IF(Data!R118&lt;=QUARTILE(Data!R$4:R$153,3),3,4)))</f>
        <v>3</v>
      </c>
      <c r="S118" s="8">
        <f>IF(Data!S118&lt;=QUARTILE(Data!S$4:S$153,1),1,IF(Data!S118&lt;=MEDIAN(Data!S$4:S$153),2,IF(Data!S118&lt;=QUARTILE(Data!S$4:S$153,3),3,4)))</f>
        <v>1</v>
      </c>
      <c r="T118" s="9">
        <f>IF(Data!T118&lt;=QUARTILE(Data!T$4:T$153,1),1,IF(Data!T118&lt;=MEDIAN(Data!T$4:T$153),2,IF(Data!T118&lt;=QUARTILE(Data!T$4:T$153,3),3,4)))</f>
        <v>3</v>
      </c>
      <c r="U118" s="7">
        <f>IF(Data!U118&lt;=QUARTILE(Data!U$4:U$153,1),1,IF(Data!U118&lt;=MEDIAN(Data!U$4:U$153),2,IF(Data!U118&lt;=QUARTILE(Data!U$4:U$153,3),3,4)))</f>
        <v>3</v>
      </c>
      <c r="V118" s="8">
        <f>IF(Data!V118&lt;=QUARTILE(Data!V$4:V$153,1),1,IF(Data!V118&lt;=MEDIAN(Data!V$4:V$153),2,IF(Data!V118&lt;=QUARTILE(Data!V$4:V$153,3),3,4)))</f>
        <v>3</v>
      </c>
      <c r="W118" s="8">
        <f>IF(Data!W118&lt;=QUARTILE(Data!W$4:W$153,1),1,IF(Data!W118&lt;=MEDIAN(Data!W$4:W$153),2,IF(Data!W118&lt;=QUARTILE(Data!W$4:W$153,3),3,4)))</f>
        <v>2</v>
      </c>
      <c r="X118" s="8">
        <f>IF(Data!X118&lt;=QUARTILE(Data!X$4:X$153,1),1,IF(Data!X118&lt;=MEDIAN(Data!X$4:X$153),2,IF(Data!X118&lt;=QUARTILE(Data!X$4:X$153,3),3,4)))</f>
        <v>2</v>
      </c>
      <c r="Y118" s="8">
        <f>IF(Data!Y118&lt;=QUARTILE(Data!Y$4:Y$153,1),1,IF(Data!Y118&lt;=MEDIAN(Data!Y$4:Y$153),2,IF(Data!Y118&lt;=QUARTILE(Data!Y$4:Y$153,3),3,4)))</f>
        <v>1</v>
      </c>
      <c r="Z118" s="8">
        <f>IF(Data!Z118&lt;=QUARTILE(Data!Z$4:Z$153,1),1,IF(Data!Z118&lt;=MEDIAN(Data!Z$4:Z$153),2,IF(Data!Z118&lt;=QUARTILE(Data!Z$4:Z$153,3),3,4)))</f>
        <v>1</v>
      </c>
      <c r="AA118" s="8">
        <f>IF(Data!AA118&lt;=QUARTILE(Data!AA$4:AA$153,1),1,IF(Data!AA118&lt;=MEDIAN(Data!AA$4:AA$153),2,IF(Data!AA118&lt;=QUARTILE(Data!AA$4:AA$153,3),3,4)))</f>
        <v>3</v>
      </c>
      <c r="AB118" s="8">
        <f>IF(Data!AB118&lt;=QUARTILE(Data!AB$4:AB$153,1),1,IF(Data!AB118&lt;=MEDIAN(Data!AB$4:AB$153),2,IF(Data!AB118&lt;=QUARTILE(Data!AB$4:AB$153,3),3,4)))</f>
        <v>3</v>
      </c>
      <c r="AC118" s="8">
        <f>IF(Data!AC118&lt;=QUARTILE(Data!AC$4:AC$153,1),1,IF(Data!AC118&lt;=MEDIAN(Data!AC$4:AC$153),2,IF(Data!AC118&lt;=QUARTILE(Data!AC$4:AC$153,3),3,4)))</f>
        <v>2</v>
      </c>
      <c r="AD118" s="8">
        <f>IF(Data!AD118&lt;=QUARTILE(Data!AD$4:AD$153,1),1,IF(Data!AD118&lt;=MEDIAN(Data!AD$4:AD$153),2,IF(Data!AD118&lt;=QUARTILE(Data!AD$4:AD$153,3),3,4)))</f>
        <v>4</v>
      </c>
      <c r="AE118" s="8">
        <f>IF(Data!AE118&lt;=QUARTILE(Data!AE$4:AE$153,1),1,IF(Data!AE118&lt;=MEDIAN(Data!AE$4:AE$153),2,IF(Data!AE118&lt;=QUARTILE(Data!AE$4:AE$153,3),3,4)))</f>
        <v>3</v>
      </c>
      <c r="AF118" s="8">
        <f>IF(Data!AF118&lt;=QUARTILE(Data!AF$4:AF$153,1),1,IF(Data!AF118&lt;=MEDIAN(Data!AF$4:AF$153),2,IF(Data!AF118&lt;=QUARTILE(Data!AF$4:AF$153,3),3,4)))</f>
        <v>3</v>
      </c>
      <c r="AG118" s="8">
        <f>IF(Data!AG118&lt;=QUARTILE(Data!AG$4:AG$153,1),1,IF(Data!AG118&lt;=MEDIAN(Data!AG$4:AG$153),2,IF(Data!AG118&lt;=QUARTILE(Data!AG$4:AG$153,3),3,4)))</f>
        <v>3</v>
      </c>
      <c r="AH118" s="9">
        <f>IF(Data!AH118&lt;=QUARTILE(Data!AH$4:AH$153,1),1,IF(Data!AH118&lt;=MEDIAN(Data!AH$4:AH$153),2,IF(Data!AH118&lt;=QUARTILE(Data!AH$4:AH$153,3),3,4)))</f>
        <v>2</v>
      </c>
    </row>
    <row r="119" spans="1:34" x14ac:dyDescent="0.25">
      <c r="A119" s="7" t="s">
        <v>76</v>
      </c>
      <c r="B119" s="14" t="s">
        <v>68</v>
      </c>
      <c r="C119" s="7">
        <v>63</v>
      </c>
      <c r="D119" s="8">
        <v>19</v>
      </c>
      <c r="E119" s="42" t="s">
        <v>58</v>
      </c>
      <c r="F119" s="9">
        <v>6.69</v>
      </c>
      <c r="G119" s="7">
        <f>IF(Data!G119&lt;=QUARTILE(Data!G$4:G$153,1),1,IF(Data!G119&lt;=MEDIAN(Data!G$4:G$153),2,IF(Data!G119&lt;=QUARTILE(Data!G$4:G$153,3),3,4)))</f>
        <v>3</v>
      </c>
      <c r="H119" s="8">
        <f>IF(Data!H119&lt;=QUARTILE(Data!H$4:H$153,1),1,IF(Data!H119&lt;=MEDIAN(Data!H$4:H$153),2,IF(Data!H119&lt;=QUARTILE(Data!H$4:H$153,3),3,4)))</f>
        <v>1</v>
      </c>
      <c r="I119" s="8">
        <f>IF(Data!I119&lt;=QUARTILE(Data!I$4:I$153,1),1,IF(Data!I119&lt;=MEDIAN(Data!I$4:I$153),2,IF(Data!I119&lt;=QUARTILE(Data!I$4:I$153,3),3,4)))</f>
        <v>3</v>
      </c>
      <c r="J119" s="8">
        <f>IF(Data!J119&lt;=QUARTILE(Data!J$4:J$153,1),1,IF(Data!J119&lt;=MEDIAN(Data!J$4:J$153),2,IF(Data!J119&lt;=QUARTILE(Data!J$4:J$153,3),3,4)))</f>
        <v>2</v>
      </c>
      <c r="K119" s="8">
        <f>IF(Data!K119&lt;=QUARTILE(Data!K$4:K$153,1),1,IF(Data!K119&lt;=MEDIAN(Data!K$4:K$153),2,IF(Data!K119&lt;=QUARTILE(Data!K$4:K$153,3),3,4)))</f>
        <v>1</v>
      </c>
      <c r="L119" s="8">
        <f>IF(Data!L119&lt;=QUARTILE(Data!L$4:L$153,1),1,IF(Data!L119&lt;=MEDIAN(Data!L$4:L$153),2,IF(Data!L119&lt;=QUARTILE(Data!L$4:L$153,3),3,4)))</f>
        <v>1</v>
      </c>
      <c r="M119" s="8">
        <f>IF(Data!M119&lt;=QUARTILE(Data!M$4:M$153,1),1,IF(Data!M119&lt;=MEDIAN(Data!M$4:M$153),2,IF(Data!M119&lt;=QUARTILE(Data!M$4:M$153,3),3,4)))</f>
        <v>1</v>
      </c>
      <c r="N119" s="8">
        <f>IF(Data!N119&lt;=QUARTILE(Data!N$4:N$153,1),1,IF(Data!N119&lt;=MEDIAN(Data!N$4:N$153),2,IF(Data!N119&lt;=QUARTILE(Data!N$4:N$153,3),3,4)))</f>
        <v>4</v>
      </c>
      <c r="O119" s="8">
        <f>IF(Data!O119&lt;=QUARTILE(Data!O$4:O$153,1),1,IF(Data!O119&lt;=MEDIAN(Data!O$4:O$153),2,IF(Data!O119&lt;=QUARTILE(Data!O$4:O$153,3),3,4)))</f>
        <v>2</v>
      </c>
      <c r="P119" s="8">
        <f>IF(Data!P119&lt;=QUARTILE(Data!P$4:P$153,1),1,IF(Data!P119&lt;=MEDIAN(Data!P$4:P$153),2,IF(Data!P119&lt;=QUARTILE(Data!P$4:P$153,3),3,4)))</f>
        <v>1</v>
      </c>
      <c r="Q119" s="8">
        <f>IF(Data!Q119&lt;=QUARTILE(Data!Q$4:Q$153,1),1,IF(Data!Q119&lt;=MEDIAN(Data!Q$4:Q$153),2,IF(Data!Q119&lt;=QUARTILE(Data!Q$4:Q$153,3),3,4)))</f>
        <v>4</v>
      </c>
      <c r="R119" s="8">
        <f>IF(Data!R119&lt;=QUARTILE(Data!R$4:R$153,1),1,IF(Data!R119&lt;=MEDIAN(Data!R$4:R$153),2,IF(Data!R119&lt;=QUARTILE(Data!R$4:R$153,3),3,4)))</f>
        <v>1</v>
      </c>
      <c r="S119" s="8">
        <f>IF(Data!S119&lt;=QUARTILE(Data!S$4:S$153,1),1,IF(Data!S119&lt;=MEDIAN(Data!S$4:S$153),2,IF(Data!S119&lt;=QUARTILE(Data!S$4:S$153,3),3,4)))</f>
        <v>2</v>
      </c>
      <c r="T119" s="9">
        <f>IF(Data!T119&lt;=QUARTILE(Data!T$4:T$153,1),1,IF(Data!T119&lt;=MEDIAN(Data!T$4:T$153),2,IF(Data!T119&lt;=QUARTILE(Data!T$4:T$153,3),3,4)))</f>
        <v>1</v>
      </c>
      <c r="U119" s="7">
        <f>IF(Data!U119&lt;=QUARTILE(Data!U$4:U$153,1),1,IF(Data!U119&lt;=MEDIAN(Data!U$4:U$153),2,IF(Data!U119&lt;=QUARTILE(Data!U$4:U$153,3),3,4)))</f>
        <v>1</v>
      </c>
      <c r="V119" s="8">
        <f>IF(Data!V119&lt;=QUARTILE(Data!V$4:V$153,1),1,IF(Data!V119&lt;=MEDIAN(Data!V$4:V$153),2,IF(Data!V119&lt;=QUARTILE(Data!V$4:V$153,3),3,4)))</f>
        <v>2</v>
      </c>
      <c r="W119" s="8">
        <f>IF(Data!W119&lt;=QUARTILE(Data!W$4:W$153,1),1,IF(Data!W119&lt;=MEDIAN(Data!W$4:W$153),2,IF(Data!W119&lt;=QUARTILE(Data!W$4:W$153,3),3,4)))</f>
        <v>1</v>
      </c>
      <c r="X119" s="8">
        <f>IF(Data!X119&lt;=QUARTILE(Data!X$4:X$153,1),1,IF(Data!X119&lt;=MEDIAN(Data!X$4:X$153),2,IF(Data!X119&lt;=QUARTILE(Data!X$4:X$153,3),3,4)))</f>
        <v>1</v>
      </c>
      <c r="Y119" s="8">
        <f>IF(Data!Y119&lt;=QUARTILE(Data!Y$4:Y$153,1),1,IF(Data!Y119&lt;=MEDIAN(Data!Y$4:Y$153),2,IF(Data!Y119&lt;=QUARTILE(Data!Y$4:Y$153,3),3,4)))</f>
        <v>1</v>
      </c>
      <c r="Z119" s="8">
        <f>IF(Data!Z119&lt;=QUARTILE(Data!Z$4:Z$153,1),1,IF(Data!Z119&lt;=MEDIAN(Data!Z$4:Z$153),2,IF(Data!Z119&lt;=QUARTILE(Data!Z$4:Z$153,3),3,4)))</f>
        <v>1</v>
      </c>
      <c r="AA119" s="8">
        <f>IF(Data!AA119&lt;=QUARTILE(Data!AA$4:AA$153,1),1,IF(Data!AA119&lt;=MEDIAN(Data!AA$4:AA$153),2,IF(Data!AA119&lt;=QUARTILE(Data!AA$4:AA$153,3),3,4)))</f>
        <v>2</v>
      </c>
      <c r="AB119" s="8">
        <f>IF(Data!AB119&lt;=QUARTILE(Data!AB$4:AB$153,1),1,IF(Data!AB119&lt;=MEDIAN(Data!AB$4:AB$153),2,IF(Data!AB119&lt;=QUARTILE(Data!AB$4:AB$153,3),3,4)))</f>
        <v>2</v>
      </c>
      <c r="AC119" s="8">
        <f>IF(Data!AC119&lt;=QUARTILE(Data!AC$4:AC$153,1),1,IF(Data!AC119&lt;=MEDIAN(Data!AC$4:AC$153),2,IF(Data!AC119&lt;=QUARTILE(Data!AC$4:AC$153,3),3,4)))</f>
        <v>1</v>
      </c>
      <c r="AD119" s="8">
        <f>IF(Data!AD119&lt;=QUARTILE(Data!AD$4:AD$153,1),1,IF(Data!AD119&lt;=MEDIAN(Data!AD$4:AD$153),2,IF(Data!AD119&lt;=QUARTILE(Data!AD$4:AD$153,3),3,4)))</f>
        <v>2</v>
      </c>
      <c r="AE119" s="8">
        <f>IF(Data!AE119&lt;=QUARTILE(Data!AE$4:AE$153,1),1,IF(Data!AE119&lt;=MEDIAN(Data!AE$4:AE$153),2,IF(Data!AE119&lt;=QUARTILE(Data!AE$4:AE$153,3),3,4)))</f>
        <v>1</v>
      </c>
      <c r="AF119" s="8">
        <f>IF(Data!AF119&lt;=QUARTILE(Data!AF$4:AF$153,1),1,IF(Data!AF119&lt;=MEDIAN(Data!AF$4:AF$153),2,IF(Data!AF119&lt;=QUARTILE(Data!AF$4:AF$153,3),3,4)))</f>
        <v>2</v>
      </c>
      <c r="AG119" s="8">
        <f>IF(Data!AG119&lt;=QUARTILE(Data!AG$4:AG$153,1),1,IF(Data!AG119&lt;=MEDIAN(Data!AG$4:AG$153),2,IF(Data!AG119&lt;=QUARTILE(Data!AG$4:AG$153,3),3,4)))</f>
        <v>2</v>
      </c>
      <c r="AH119" s="9">
        <f>IF(Data!AH119&lt;=QUARTILE(Data!AH$4:AH$153,1),1,IF(Data!AH119&lt;=MEDIAN(Data!AH$4:AH$153),2,IF(Data!AH119&lt;=QUARTILE(Data!AH$4:AH$153,3),3,4)))</f>
        <v>1</v>
      </c>
    </row>
    <row r="120" spans="1:34" x14ac:dyDescent="0.25">
      <c r="A120" s="7" t="s">
        <v>56</v>
      </c>
      <c r="B120" s="14" t="s">
        <v>68</v>
      </c>
      <c r="C120" s="7">
        <v>35</v>
      </c>
      <c r="D120" s="8">
        <v>47</v>
      </c>
      <c r="E120" s="42" t="s">
        <v>59</v>
      </c>
      <c r="F120" s="9">
        <v>-2.88</v>
      </c>
      <c r="G120" s="7">
        <f>IF(Data!G120&lt;=QUARTILE(Data!G$4:G$153,1),1,IF(Data!G120&lt;=MEDIAN(Data!G$4:G$153),2,IF(Data!G120&lt;=QUARTILE(Data!G$4:G$153,3),3,4)))</f>
        <v>4</v>
      </c>
      <c r="H120" s="8">
        <f>IF(Data!H120&lt;=QUARTILE(Data!H$4:H$153,1),1,IF(Data!H120&lt;=MEDIAN(Data!H$4:H$153),2,IF(Data!H120&lt;=QUARTILE(Data!H$4:H$153,3),3,4)))</f>
        <v>4</v>
      </c>
      <c r="I120" s="8">
        <f>IF(Data!I120&lt;=QUARTILE(Data!I$4:I$153,1),1,IF(Data!I120&lt;=MEDIAN(Data!I$4:I$153),2,IF(Data!I120&lt;=QUARTILE(Data!I$4:I$153,3),3,4)))</f>
        <v>4</v>
      </c>
      <c r="J120" s="8">
        <f>IF(Data!J120&lt;=QUARTILE(Data!J$4:J$153,1),1,IF(Data!J120&lt;=MEDIAN(Data!J$4:J$153),2,IF(Data!J120&lt;=QUARTILE(Data!J$4:J$153,3),3,4)))</f>
        <v>4</v>
      </c>
      <c r="K120" s="8">
        <f>IF(Data!K120&lt;=QUARTILE(Data!K$4:K$153,1),1,IF(Data!K120&lt;=MEDIAN(Data!K$4:K$153),2,IF(Data!K120&lt;=QUARTILE(Data!K$4:K$153,3),3,4)))</f>
        <v>3</v>
      </c>
      <c r="L120" s="8">
        <f>IF(Data!L120&lt;=QUARTILE(Data!L$4:L$153,1),1,IF(Data!L120&lt;=MEDIAN(Data!L$4:L$153),2,IF(Data!L120&lt;=QUARTILE(Data!L$4:L$153,3),3,4)))</f>
        <v>3</v>
      </c>
      <c r="M120" s="8">
        <f>IF(Data!M120&lt;=QUARTILE(Data!M$4:M$153,1),1,IF(Data!M120&lt;=MEDIAN(Data!M$4:M$153),2,IF(Data!M120&lt;=QUARTILE(Data!M$4:M$153,3),3,4)))</f>
        <v>4</v>
      </c>
      <c r="N120" s="8">
        <f>IF(Data!N120&lt;=QUARTILE(Data!N$4:N$153,1),1,IF(Data!N120&lt;=MEDIAN(Data!N$4:N$153),2,IF(Data!N120&lt;=QUARTILE(Data!N$4:N$153,3),3,4)))</f>
        <v>1</v>
      </c>
      <c r="O120" s="8">
        <f>IF(Data!O120&lt;=QUARTILE(Data!O$4:O$153,1),1,IF(Data!O120&lt;=MEDIAN(Data!O$4:O$153),2,IF(Data!O120&lt;=QUARTILE(Data!O$4:O$153,3),3,4)))</f>
        <v>2</v>
      </c>
      <c r="P120" s="8">
        <f>IF(Data!P120&lt;=QUARTILE(Data!P$4:P$153,1),1,IF(Data!P120&lt;=MEDIAN(Data!P$4:P$153),2,IF(Data!P120&lt;=QUARTILE(Data!P$4:P$153,3),3,4)))</f>
        <v>3</v>
      </c>
      <c r="Q120" s="8">
        <f>IF(Data!Q120&lt;=QUARTILE(Data!Q$4:Q$153,1),1,IF(Data!Q120&lt;=MEDIAN(Data!Q$4:Q$153),2,IF(Data!Q120&lt;=QUARTILE(Data!Q$4:Q$153,3),3,4)))</f>
        <v>1</v>
      </c>
      <c r="R120" s="8">
        <f>IF(Data!R120&lt;=QUARTILE(Data!R$4:R$153,1),1,IF(Data!R120&lt;=MEDIAN(Data!R$4:R$153),2,IF(Data!R120&lt;=QUARTILE(Data!R$4:R$153,3),3,4)))</f>
        <v>3</v>
      </c>
      <c r="S120" s="8">
        <f>IF(Data!S120&lt;=QUARTILE(Data!S$4:S$153,1),1,IF(Data!S120&lt;=MEDIAN(Data!S$4:S$153),2,IF(Data!S120&lt;=QUARTILE(Data!S$4:S$153,3),3,4)))</f>
        <v>4</v>
      </c>
      <c r="T120" s="9">
        <f>IF(Data!T120&lt;=QUARTILE(Data!T$4:T$153,1),1,IF(Data!T120&lt;=MEDIAN(Data!T$4:T$153),2,IF(Data!T120&lt;=QUARTILE(Data!T$4:T$153,3),3,4)))</f>
        <v>4</v>
      </c>
      <c r="U120" s="7">
        <f>IF(Data!U120&lt;=QUARTILE(Data!U$4:U$153,1),1,IF(Data!U120&lt;=MEDIAN(Data!U$4:U$153),2,IF(Data!U120&lt;=QUARTILE(Data!U$4:U$153,3),3,4)))</f>
        <v>4</v>
      </c>
      <c r="V120" s="8">
        <f>IF(Data!V120&lt;=QUARTILE(Data!V$4:V$153,1),1,IF(Data!V120&lt;=MEDIAN(Data!V$4:V$153),2,IF(Data!V120&lt;=QUARTILE(Data!V$4:V$153,3),3,4)))</f>
        <v>3</v>
      </c>
      <c r="W120" s="8">
        <f>IF(Data!W120&lt;=QUARTILE(Data!W$4:W$153,1),1,IF(Data!W120&lt;=MEDIAN(Data!W$4:W$153),2,IF(Data!W120&lt;=QUARTILE(Data!W$4:W$153,3),3,4)))</f>
        <v>3</v>
      </c>
      <c r="X120" s="8">
        <f>IF(Data!X120&lt;=QUARTILE(Data!X$4:X$153,1),1,IF(Data!X120&lt;=MEDIAN(Data!X$4:X$153),2,IF(Data!X120&lt;=QUARTILE(Data!X$4:X$153,3),3,4)))</f>
        <v>3</v>
      </c>
      <c r="Y120" s="8">
        <f>IF(Data!Y120&lt;=QUARTILE(Data!Y$4:Y$153,1),1,IF(Data!Y120&lt;=MEDIAN(Data!Y$4:Y$153),2,IF(Data!Y120&lt;=QUARTILE(Data!Y$4:Y$153,3),3,4)))</f>
        <v>4</v>
      </c>
      <c r="Z120" s="8">
        <f>IF(Data!Z120&lt;=QUARTILE(Data!Z$4:Z$153,1),1,IF(Data!Z120&lt;=MEDIAN(Data!Z$4:Z$153),2,IF(Data!Z120&lt;=QUARTILE(Data!Z$4:Z$153,3),3,4)))</f>
        <v>4</v>
      </c>
      <c r="AA120" s="8">
        <f>IF(Data!AA120&lt;=QUARTILE(Data!AA$4:AA$153,1),1,IF(Data!AA120&lt;=MEDIAN(Data!AA$4:AA$153),2,IF(Data!AA120&lt;=QUARTILE(Data!AA$4:AA$153,3),3,4)))</f>
        <v>4</v>
      </c>
      <c r="AB120" s="8">
        <f>IF(Data!AB120&lt;=QUARTILE(Data!AB$4:AB$153,1),1,IF(Data!AB120&lt;=MEDIAN(Data!AB$4:AB$153),2,IF(Data!AB120&lt;=QUARTILE(Data!AB$4:AB$153,3),3,4)))</f>
        <v>1</v>
      </c>
      <c r="AC120" s="8">
        <f>IF(Data!AC120&lt;=QUARTILE(Data!AC$4:AC$153,1),1,IF(Data!AC120&lt;=MEDIAN(Data!AC$4:AC$153),2,IF(Data!AC120&lt;=QUARTILE(Data!AC$4:AC$153,3),3,4)))</f>
        <v>4</v>
      </c>
      <c r="AD120" s="8">
        <f>IF(Data!AD120&lt;=QUARTILE(Data!AD$4:AD$153,1),1,IF(Data!AD120&lt;=MEDIAN(Data!AD$4:AD$153),2,IF(Data!AD120&lt;=QUARTILE(Data!AD$4:AD$153,3),3,4)))</f>
        <v>2</v>
      </c>
      <c r="AE120" s="8">
        <f>IF(Data!AE120&lt;=QUARTILE(Data!AE$4:AE$153,1),1,IF(Data!AE120&lt;=MEDIAN(Data!AE$4:AE$153),2,IF(Data!AE120&lt;=QUARTILE(Data!AE$4:AE$153,3),3,4)))</f>
        <v>3</v>
      </c>
      <c r="AF120" s="8">
        <f>IF(Data!AF120&lt;=QUARTILE(Data!AF$4:AF$153,1),1,IF(Data!AF120&lt;=MEDIAN(Data!AF$4:AF$153),2,IF(Data!AF120&lt;=QUARTILE(Data!AF$4:AF$153,3),3,4)))</f>
        <v>3</v>
      </c>
      <c r="AG120" s="8">
        <f>IF(Data!AG120&lt;=QUARTILE(Data!AG$4:AG$153,1),1,IF(Data!AG120&lt;=MEDIAN(Data!AG$4:AG$153),2,IF(Data!AG120&lt;=QUARTILE(Data!AG$4:AG$153,3),3,4)))</f>
        <v>3</v>
      </c>
      <c r="AH120" s="9">
        <f>IF(Data!AH120&lt;=QUARTILE(Data!AH$4:AH$153,1),1,IF(Data!AH120&lt;=MEDIAN(Data!AH$4:AH$153),2,IF(Data!AH120&lt;=QUARTILE(Data!AH$4:AH$153,3),3,4)))</f>
        <v>4</v>
      </c>
    </row>
    <row r="121" spans="1:34" x14ac:dyDescent="0.25">
      <c r="A121" s="7" t="s">
        <v>22</v>
      </c>
      <c r="B121" s="14" t="s">
        <v>68</v>
      </c>
      <c r="C121" s="7">
        <v>27</v>
      </c>
      <c r="D121" s="8">
        <v>55</v>
      </c>
      <c r="E121" s="42" t="s">
        <v>59</v>
      </c>
      <c r="F121" s="9">
        <v>-3.03</v>
      </c>
      <c r="G121" s="7">
        <f>IF(Data!G121&lt;=QUARTILE(Data!G$4:G$153,1),1,IF(Data!G121&lt;=MEDIAN(Data!G$4:G$153),2,IF(Data!G121&lt;=QUARTILE(Data!G$4:G$153,3),3,4)))</f>
        <v>3</v>
      </c>
      <c r="H121" s="8">
        <f>IF(Data!H121&lt;=QUARTILE(Data!H$4:H$153,1),1,IF(Data!H121&lt;=MEDIAN(Data!H$4:H$153),2,IF(Data!H121&lt;=QUARTILE(Data!H$4:H$153,3),3,4)))</f>
        <v>3</v>
      </c>
      <c r="I121" s="8">
        <f>IF(Data!I121&lt;=QUARTILE(Data!I$4:I$153,1),1,IF(Data!I121&lt;=MEDIAN(Data!I$4:I$153),2,IF(Data!I121&lt;=QUARTILE(Data!I$4:I$153,3),3,4)))</f>
        <v>4</v>
      </c>
      <c r="J121" s="8">
        <f>IF(Data!J121&lt;=QUARTILE(Data!J$4:J$153,1),1,IF(Data!J121&lt;=MEDIAN(Data!J$4:J$153),2,IF(Data!J121&lt;=QUARTILE(Data!J$4:J$153,3),3,4)))</f>
        <v>4</v>
      </c>
      <c r="K121" s="8">
        <f>IF(Data!K121&lt;=QUARTILE(Data!K$4:K$153,1),1,IF(Data!K121&lt;=MEDIAN(Data!K$4:K$153),2,IF(Data!K121&lt;=QUARTILE(Data!K$4:K$153,3),3,4)))</f>
        <v>3</v>
      </c>
      <c r="L121" s="8">
        <f>IF(Data!L121&lt;=QUARTILE(Data!L$4:L$153,1),1,IF(Data!L121&lt;=MEDIAN(Data!L$4:L$153),2,IF(Data!L121&lt;=QUARTILE(Data!L$4:L$153,3),3,4)))</f>
        <v>2</v>
      </c>
      <c r="M121" s="8">
        <f>IF(Data!M121&lt;=QUARTILE(Data!M$4:M$153,1),1,IF(Data!M121&lt;=MEDIAN(Data!M$4:M$153),2,IF(Data!M121&lt;=QUARTILE(Data!M$4:M$153,3),3,4)))</f>
        <v>1</v>
      </c>
      <c r="N121" s="8">
        <f>IF(Data!N121&lt;=QUARTILE(Data!N$4:N$153,1),1,IF(Data!N121&lt;=MEDIAN(Data!N$4:N$153),2,IF(Data!N121&lt;=QUARTILE(Data!N$4:N$153,3),3,4)))</f>
        <v>1</v>
      </c>
      <c r="O121" s="8">
        <f>IF(Data!O121&lt;=QUARTILE(Data!O$4:O$153,1),1,IF(Data!O121&lt;=MEDIAN(Data!O$4:O$153),2,IF(Data!O121&lt;=QUARTILE(Data!O$4:O$153,3),3,4)))</f>
        <v>1</v>
      </c>
      <c r="P121" s="8">
        <f>IF(Data!P121&lt;=QUARTILE(Data!P$4:P$153,1),1,IF(Data!P121&lt;=MEDIAN(Data!P$4:P$153),2,IF(Data!P121&lt;=QUARTILE(Data!P$4:P$153,3),3,4)))</f>
        <v>1</v>
      </c>
      <c r="Q121" s="8">
        <f>IF(Data!Q121&lt;=QUARTILE(Data!Q$4:Q$153,1),1,IF(Data!Q121&lt;=MEDIAN(Data!Q$4:Q$153),2,IF(Data!Q121&lt;=QUARTILE(Data!Q$4:Q$153,3),3,4)))</f>
        <v>1</v>
      </c>
      <c r="R121" s="8">
        <f>IF(Data!R121&lt;=QUARTILE(Data!R$4:R$153,1),1,IF(Data!R121&lt;=MEDIAN(Data!R$4:R$153),2,IF(Data!R121&lt;=QUARTILE(Data!R$4:R$153,3),3,4)))</f>
        <v>1</v>
      </c>
      <c r="S121" s="8">
        <f>IF(Data!S121&lt;=QUARTILE(Data!S$4:S$153,1),1,IF(Data!S121&lt;=MEDIAN(Data!S$4:S$153),2,IF(Data!S121&lt;=QUARTILE(Data!S$4:S$153,3),3,4)))</f>
        <v>4</v>
      </c>
      <c r="T121" s="9">
        <f>IF(Data!T121&lt;=QUARTILE(Data!T$4:T$153,1),1,IF(Data!T121&lt;=MEDIAN(Data!T$4:T$153),2,IF(Data!T121&lt;=QUARTILE(Data!T$4:T$153,3),3,4)))</f>
        <v>4</v>
      </c>
      <c r="U121" s="7">
        <f>IF(Data!U121&lt;=QUARTILE(Data!U$4:U$153,1),1,IF(Data!U121&lt;=MEDIAN(Data!U$4:U$153),2,IF(Data!U121&lt;=QUARTILE(Data!U$4:U$153,3),3,4)))</f>
        <v>4</v>
      </c>
      <c r="V121" s="8">
        <f>IF(Data!V121&lt;=QUARTILE(Data!V$4:V$153,1),1,IF(Data!V121&lt;=MEDIAN(Data!V$4:V$153),2,IF(Data!V121&lt;=QUARTILE(Data!V$4:V$153,3),3,4)))</f>
        <v>2</v>
      </c>
      <c r="W121" s="8">
        <f>IF(Data!W121&lt;=QUARTILE(Data!W$4:W$153,1),1,IF(Data!W121&lt;=MEDIAN(Data!W$4:W$153),2,IF(Data!W121&lt;=QUARTILE(Data!W$4:W$153,3),3,4)))</f>
        <v>3</v>
      </c>
      <c r="X121" s="8">
        <f>IF(Data!X121&lt;=QUARTILE(Data!X$4:X$153,1),1,IF(Data!X121&lt;=MEDIAN(Data!X$4:X$153),2,IF(Data!X121&lt;=QUARTILE(Data!X$4:X$153,3),3,4)))</f>
        <v>2</v>
      </c>
      <c r="Y121" s="8">
        <f>IF(Data!Y121&lt;=QUARTILE(Data!Y$4:Y$153,1),1,IF(Data!Y121&lt;=MEDIAN(Data!Y$4:Y$153),2,IF(Data!Y121&lt;=QUARTILE(Data!Y$4:Y$153,3),3,4)))</f>
        <v>3</v>
      </c>
      <c r="Z121" s="8">
        <f>IF(Data!Z121&lt;=QUARTILE(Data!Z$4:Z$153,1),1,IF(Data!Z121&lt;=MEDIAN(Data!Z$4:Z$153),2,IF(Data!Z121&lt;=QUARTILE(Data!Z$4:Z$153,3),3,4)))</f>
        <v>4</v>
      </c>
      <c r="AA121" s="8">
        <f>IF(Data!AA121&lt;=QUARTILE(Data!AA$4:AA$153,1),1,IF(Data!AA121&lt;=MEDIAN(Data!AA$4:AA$153),2,IF(Data!AA121&lt;=QUARTILE(Data!AA$4:AA$153,3),3,4)))</f>
        <v>1</v>
      </c>
      <c r="AB121" s="8">
        <f>IF(Data!AB121&lt;=QUARTILE(Data!AB$4:AB$153,1),1,IF(Data!AB121&lt;=MEDIAN(Data!AB$4:AB$153),2,IF(Data!AB121&lt;=QUARTILE(Data!AB$4:AB$153,3),3,4)))</f>
        <v>4</v>
      </c>
      <c r="AC121" s="8">
        <f>IF(Data!AC121&lt;=QUARTILE(Data!AC$4:AC$153,1),1,IF(Data!AC121&lt;=MEDIAN(Data!AC$4:AC$153),2,IF(Data!AC121&lt;=QUARTILE(Data!AC$4:AC$153,3),3,4)))</f>
        <v>4</v>
      </c>
      <c r="AD121" s="8">
        <f>IF(Data!AD121&lt;=QUARTILE(Data!AD$4:AD$153,1),1,IF(Data!AD121&lt;=MEDIAN(Data!AD$4:AD$153),2,IF(Data!AD121&lt;=QUARTILE(Data!AD$4:AD$153,3),3,4)))</f>
        <v>1</v>
      </c>
      <c r="AE121" s="8">
        <f>IF(Data!AE121&lt;=QUARTILE(Data!AE$4:AE$153,1),1,IF(Data!AE121&lt;=MEDIAN(Data!AE$4:AE$153),2,IF(Data!AE121&lt;=QUARTILE(Data!AE$4:AE$153,3),3,4)))</f>
        <v>2</v>
      </c>
      <c r="AF121" s="8">
        <f>IF(Data!AF121&lt;=QUARTILE(Data!AF$4:AF$153,1),1,IF(Data!AF121&lt;=MEDIAN(Data!AF$4:AF$153),2,IF(Data!AF121&lt;=QUARTILE(Data!AF$4:AF$153,3),3,4)))</f>
        <v>2</v>
      </c>
      <c r="AG121" s="8">
        <f>IF(Data!AG121&lt;=QUARTILE(Data!AG$4:AG$153,1),1,IF(Data!AG121&lt;=MEDIAN(Data!AG$4:AG$153),2,IF(Data!AG121&lt;=QUARTILE(Data!AG$4:AG$153,3),3,4)))</f>
        <v>3</v>
      </c>
      <c r="AH121" s="9">
        <f>IF(Data!AH121&lt;=QUARTILE(Data!AH$4:AH$153,1),1,IF(Data!AH121&lt;=MEDIAN(Data!AH$4:AH$153),2,IF(Data!AH121&lt;=QUARTILE(Data!AH$4:AH$153,3),3,4)))</f>
        <v>4</v>
      </c>
    </row>
    <row r="122" spans="1:34" x14ac:dyDescent="0.25">
      <c r="A122" s="7" t="s">
        <v>67</v>
      </c>
      <c r="B122" s="14" t="s">
        <v>68</v>
      </c>
      <c r="C122" s="7">
        <v>41</v>
      </c>
      <c r="D122" s="8">
        <v>41</v>
      </c>
      <c r="E122" s="42" t="s">
        <v>59</v>
      </c>
      <c r="F122" s="9">
        <v>-2.4900000000000002</v>
      </c>
      <c r="G122" s="7">
        <f>IF(Data!G122&lt;=QUARTILE(Data!G$4:G$153,1),1,IF(Data!G122&lt;=MEDIAN(Data!G$4:G$153),2,IF(Data!G122&lt;=QUARTILE(Data!G$4:G$153,3),3,4)))</f>
        <v>1</v>
      </c>
      <c r="H122" s="8">
        <f>IF(Data!H122&lt;=QUARTILE(Data!H$4:H$153,1),1,IF(Data!H122&lt;=MEDIAN(Data!H$4:H$153),2,IF(Data!H122&lt;=QUARTILE(Data!H$4:H$153,3),3,4)))</f>
        <v>1</v>
      </c>
      <c r="I122" s="8">
        <f>IF(Data!I122&lt;=QUARTILE(Data!I$4:I$153,1),1,IF(Data!I122&lt;=MEDIAN(Data!I$4:I$153),2,IF(Data!I122&lt;=QUARTILE(Data!I$4:I$153,3),3,4)))</f>
        <v>1</v>
      </c>
      <c r="J122" s="8">
        <f>IF(Data!J122&lt;=QUARTILE(Data!J$4:J$153,1),1,IF(Data!J122&lt;=MEDIAN(Data!J$4:J$153),2,IF(Data!J122&lt;=QUARTILE(Data!J$4:J$153,3),3,4)))</f>
        <v>1</v>
      </c>
      <c r="K122" s="8">
        <f>IF(Data!K122&lt;=QUARTILE(Data!K$4:K$153,1),1,IF(Data!K122&lt;=MEDIAN(Data!K$4:K$153),2,IF(Data!K122&lt;=QUARTILE(Data!K$4:K$153,3),3,4)))</f>
        <v>4</v>
      </c>
      <c r="L122" s="8">
        <f>IF(Data!L122&lt;=QUARTILE(Data!L$4:L$153,1),1,IF(Data!L122&lt;=MEDIAN(Data!L$4:L$153),2,IF(Data!L122&lt;=QUARTILE(Data!L$4:L$153,3),3,4)))</f>
        <v>4</v>
      </c>
      <c r="M122" s="8">
        <f>IF(Data!M122&lt;=QUARTILE(Data!M$4:M$153,1),1,IF(Data!M122&lt;=MEDIAN(Data!M$4:M$153),2,IF(Data!M122&lt;=QUARTILE(Data!M$4:M$153,3),3,4)))</f>
        <v>4</v>
      </c>
      <c r="N122" s="8">
        <f>IF(Data!N122&lt;=QUARTILE(Data!N$4:N$153,1),1,IF(Data!N122&lt;=MEDIAN(Data!N$4:N$153),2,IF(Data!N122&lt;=QUARTILE(Data!N$4:N$153,3),3,4)))</f>
        <v>2</v>
      </c>
      <c r="O122" s="8">
        <f>IF(Data!O122&lt;=QUARTILE(Data!O$4:O$153,1),1,IF(Data!O122&lt;=MEDIAN(Data!O$4:O$153),2,IF(Data!O122&lt;=QUARTILE(Data!O$4:O$153,3),3,4)))</f>
        <v>3</v>
      </c>
      <c r="P122" s="8">
        <f>IF(Data!P122&lt;=QUARTILE(Data!P$4:P$153,1),1,IF(Data!P122&lt;=MEDIAN(Data!P$4:P$153),2,IF(Data!P122&lt;=QUARTILE(Data!P$4:P$153,3),3,4)))</f>
        <v>1</v>
      </c>
      <c r="Q122" s="8">
        <f>IF(Data!Q122&lt;=QUARTILE(Data!Q$4:Q$153,1),1,IF(Data!Q122&lt;=MEDIAN(Data!Q$4:Q$153),2,IF(Data!Q122&lt;=QUARTILE(Data!Q$4:Q$153,3),3,4)))</f>
        <v>4</v>
      </c>
      <c r="R122" s="8">
        <f>IF(Data!R122&lt;=QUARTILE(Data!R$4:R$153,1),1,IF(Data!R122&lt;=MEDIAN(Data!R$4:R$153),2,IF(Data!R122&lt;=QUARTILE(Data!R$4:R$153,3),3,4)))</f>
        <v>4</v>
      </c>
      <c r="S122" s="8">
        <f>IF(Data!S122&lt;=QUARTILE(Data!S$4:S$153,1),1,IF(Data!S122&lt;=MEDIAN(Data!S$4:S$153),2,IF(Data!S122&lt;=QUARTILE(Data!S$4:S$153,3),3,4)))</f>
        <v>4</v>
      </c>
      <c r="T122" s="9">
        <f>IF(Data!T122&lt;=QUARTILE(Data!T$4:T$153,1),1,IF(Data!T122&lt;=MEDIAN(Data!T$4:T$153),2,IF(Data!T122&lt;=QUARTILE(Data!T$4:T$153,3),3,4)))</f>
        <v>1</v>
      </c>
      <c r="U122" s="7">
        <f>IF(Data!U122&lt;=QUARTILE(Data!U$4:U$153,1),1,IF(Data!U122&lt;=MEDIAN(Data!U$4:U$153),2,IF(Data!U122&lt;=QUARTILE(Data!U$4:U$153,3),3,4)))</f>
        <v>1</v>
      </c>
      <c r="V122" s="8">
        <f>IF(Data!V122&lt;=QUARTILE(Data!V$4:V$153,1),1,IF(Data!V122&lt;=MEDIAN(Data!V$4:V$153),2,IF(Data!V122&lt;=QUARTILE(Data!V$4:V$153,3),3,4)))</f>
        <v>1</v>
      </c>
      <c r="W122" s="8">
        <f>IF(Data!W122&lt;=QUARTILE(Data!W$4:W$153,1),1,IF(Data!W122&lt;=MEDIAN(Data!W$4:W$153),2,IF(Data!W122&lt;=QUARTILE(Data!W$4:W$153,3),3,4)))</f>
        <v>2</v>
      </c>
      <c r="X122" s="8">
        <f>IF(Data!X122&lt;=QUARTILE(Data!X$4:X$153,1),1,IF(Data!X122&lt;=MEDIAN(Data!X$4:X$153),2,IF(Data!X122&lt;=QUARTILE(Data!X$4:X$153,3),3,4)))</f>
        <v>2</v>
      </c>
      <c r="Y122" s="8">
        <f>IF(Data!Y122&lt;=QUARTILE(Data!Y$4:Y$153,1),1,IF(Data!Y122&lt;=MEDIAN(Data!Y$4:Y$153),2,IF(Data!Y122&lt;=QUARTILE(Data!Y$4:Y$153,3),3,4)))</f>
        <v>4</v>
      </c>
      <c r="Z122" s="8">
        <f>IF(Data!Z122&lt;=QUARTILE(Data!Z$4:Z$153,1),1,IF(Data!Z122&lt;=MEDIAN(Data!Z$4:Z$153),2,IF(Data!Z122&lt;=QUARTILE(Data!Z$4:Z$153,3),3,4)))</f>
        <v>4</v>
      </c>
      <c r="AA122" s="8">
        <f>IF(Data!AA122&lt;=QUARTILE(Data!AA$4:AA$153,1),1,IF(Data!AA122&lt;=MEDIAN(Data!AA$4:AA$153),2,IF(Data!AA122&lt;=QUARTILE(Data!AA$4:AA$153,3),3,4)))</f>
        <v>1</v>
      </c>
      <c r="AB122" s="8">
        <f>IF(Data!AB122&lt;=QUARTILE(Data!AB$4:AB$153,1),1,IF(Data!AB122&lt;=MEDIAN(Data!AB$4:AB$153),2,IF(Data!AB122&lt;=QUARTILE(Data!AB$4:AB$153,3),3,4)))</f>
        <v>1</v>
      </c>
      <c r="AC122" s="8">
        <f>IF(Data!AC122&lt;=QUARTILE(Data!AC$4:AC$153,1),1,IF(Data!AC122&lt;=MEDIAN(Data!AC$4:AC$153),2,IF(Data!AC122&lt;=QUARTILE(Data!AC$4:AC$153,3),3,4)))</f>
        <v>1</v>
      </c>
      <c r="AD122" s="8">
        <f>IF(Data!AD122&lt;=QUARTILE(Data!AD$4:AD$153,1),1,IF(Data!AD122&lt;=MEDIAN(Data!AD$4:AD$153),2,IF(Data!AD122&lt;=QUARTILE(Data!AD$4:AD$153,3),3,4)))</f>
        <v>4</v>
      </c>
      <c r="AE122" s="8">
        <f>IF(Data!AE122&lt;=QUARTILE(Data!AE$4:AE$153,1),1,IF(Data!AE122&lt;=MEDIAN(Data!AE$4:AE$153),2,IF(Data!AE122&lt;=QUARTILE(Data!AE$4:AE$153,3),3,4)))</f>
        <v>4</v>
      </c>
      <c r="AF122" s="8">
        <f>IF(Data!AF122&lt;=QUARTILE(Data!AF$4:AF$153,1),1,IF(Data!AF122&lt;=MEDIAN(Data!AF$4:AF$153),2,IF(Data!AF122&lt;=QUARTILE(Data!AF$4:AF$153,3),3,4)))</f>
        <v>2</v>
      </c>
      <c r="AG122" s="8">
        <f>IF(Data!AG122&lt;=QUARTILE(Data!AG$4:AG$153,1),1,IF(Data!AG122&lt;=MEDIAN(Data!AG$4:AG$153),2,IF(Data!AG122&lt;=QUARTILE(Data!AG$4:AG$153,3),3,4)))</f>
        <v>4</v>
      </c>
      <c r="AH122" s="9">
        <f>IF(Data!AH122&lt;=QUARTILE(Data!AH$4:AH$153,1),1,IF(Data!AH122&lt;=MEDIAN(Data!AH$4:AH$153),2,IF(Data!AH122&lt;=QUARTILE(Data!AH$4:AH$153,3),3,4)))</f>
        <v>1</v>
      </c>
    </row>
    <row r="123" spans="1:34" ht="15.75" thickBot="1" x14ac:dyDescent="0.3">
      <c r="A123" s="10" t="s">
        <v>26</v>
      </c>
      <c r="B123" s="15" t="s">
        <v>68</v>
      </c>
      <c r="C123" s="10">
        <v>42</v>
      </c>
      <c r="D123" s="11">
        <v>40</v>
      </c>
      <c r="E123" s="43" t="s">
        <v>58</v>
      </c>
      <c r="F123" s="12">
        <v>1.56</v>
      </c>
      <c r="G123" s="10">
        <f>IF(Data!G123&lt;=QUARTILE(Data!G$4:G$153,1),1,IF(Data!G123&lt;=MEDIAN(Data!G$4:G$153),2,IF(Data!G123&lt;=QUARTILE(Data!G$4:G$153,3),3,4)))</f>
        <v>2</v>
      </c>
      <c r="H123" s="11">
        <f>IF(Data!H123&lt;=QUARTILE(Data!H$4:H$153,1),1,IF(Data!H123&lt;=MEDIAN(Data!H$4:H$153),2,IF(Data!H123&lt;=QUARTILE(Data!H$4:H$153,3),3,4)))</f>
        <v>3</v>
      </c>
      <c r="I123" s="11">
        <f>IF(Data!I123&lt;=QUARTILE(Data!I$4:I$153,1),1,IF(Data!I123&lt;=MEDIAN(Data!I$4:I$153),2,IF(Data!I123&lt;=QUARTILE(Data!I$4:I$153,3),3,4)))</f>
        <v>2</v>
      </c>
      <c r="J123" s="11">
        <f>IF(Data!J123&lt;=QUARTILE(Data!J$4:J$153,1),1,IF(Data!J123&lt;=MEDIAN(Data!J$4:J$153),2,IF(Data!J123&lt;=QUARTILE(Data!J$4:J$153,3),3,4)))</f>
        <v>2</v>
      </c>
      <c r="K123" s="11">
        <f>IF(Data!K123&lt;=QUARTILE(Data!K$4:K$153,1),1,IF(Data!K123&lt;=MEDIAN(Data!K$4:K$153),2,IF(Data!K123&lt;=QUARTILE(Data!K$4:K$153,3),3,4)))</f>
        <v>4</v>
      </c>
      <c r="L123" s="11">
        <f>IF(Data!L123&lt;=QUARTILE(Data!L$4:L$153,1),1,IF(Data!L123&lt;=MEDIAN(Data!L$4:L$153),2,IF(Data!L123&lt;=QUARTILE(Data!L$4:L$153,3),3,4)))</f>
        <v>4</v>
      </c>
      <c r="M123" s="11">
        <f>IF(Data!M123&lt;=QUARTILE(Data!M$4:M$153,1),1,IF(Data!M123&lt;=MEDIAN(Data!M$4:M$153),2,IF(Data!M123&lt;=QUARTILE(Data!M$4:M$153,3),3,4)))</f>
        <v>4</v>
      </c>
      <c r="N123" s="11">
        <f>IF(Data!N123&lt;=QUARTILE(Data!N$4:N$153,1),1,IF(Data!N123&lt;=MEDIAN(Data!N$4:N$153),2,IF(Data!N123&lt;=QUARTILE(Data!N$4:N$153,3),3,4)))</f>
        <v>1</v>
      </c>
      <c r="O123" s="11">
        <f>IF(Data!O123&lt;=QUARTILE(Data!O$4:O$153,1),1,IF(Data!O123&lt;=MEDIAN(Data!O$4:O$153),2,IF(Data!O123&lt;=QUARTILE(Data!O$4:O$153,3),3,4)))</f>
        <v>1</v>
      </c>
      <c r="P123" s="11">
        <f>IF(Data!P123&lt;=QUARTILE(Data!P$4:P$153,1),1,IF(Data!P123&lt;=MEDIAN(Data!P$4:P$153),2,IF(Data!P123&lt;=QUARTILE(Data!P$4:P$153,3),3,4)))</f>
        <v>4</v>
      </c>
      <c r="Q123" s="11">
        <f>IF(Data!Q123&lt;=QUARTILE(Data!Q$4:Q$153,1),1,IF(Data!Q123&lt;=MEDIAN(Data!Q$4:Q$153),2,IF(Data!Q123&lt;=QUARTILE(Data!Q$4:Q$153,3),3,4)))</f>
        <v>1</v>
      </c>
      <c r="R123" s="11">
        <f>IF(Data!R123&lt;=QUARTILE(Data!R$4:R$153,1),1,IF(Data!R123&lt;=MEDIAN(Data!R$4:R$153),2,IF(Data!R123&lt;=QUARTILE(Data!R$4:R$153,3),3,4)))</f>
        <v>2</v>
      </c>
      <c r="S123" s="11">
        <f>IF(Data!S123&lt;=QUARTILE(Data!S$4:S$153,1),1,IF(Data!S123&lt;=MEDIAN(Data!S$4:S$153),2,IF(Data!S123&lt;=QUARTILE(Data!S$4:S$153,3),3,4)))</f>
        <v>3</v>
      </c>
      <c r="T123" s="12">
        <f>IF(Data!T123&lt;=QUARTILE(Data!T$4:T$153,1),1,IF(Data!T123&lt;=MEDIAN(Data!T$4:T$153),2,IF(Data!T123&lt;=QUARTILE(Data!T$4:T$153,3),3,4)))</f>
        <v>4</v>
      </c>
      <c r="U123" s="10">
        <f>IF(Data!U123&lt;=QUARTILE(Data!U$4:U$153,1),1,IF(Data!U123&lt;=MEDIAN(Data!U$4:U$153),2,IF(Data!U123&lt;=QUARTILE(Data!U$4:U$153,3),3,4)))</f>
        <v>3</v>
      </c>
      <c r="V123" s="11">
        <f>IF(Data!V123&lt;=QUARTILE(Data!V$4:V$153,1),1,IF(Data!V123&lt;=MEDIAN(Data!V$4:V$153),2,IF(Data!V123&lt;=QUARTILE(Data!V$4:V$153,3),3,4)))</f>
        <v>2</v>
      </c>
      <c r="W123" s="11">
        <f>IF(Data!W123&lt;=QUARTILE(Data!W$4:W$153,1),1,IF(Data!W123&lt;=MEDIAN(Data!W$4:W$153),2,IF(Data!W123&lt;=QUARTILE(Data!W$4:W$153,3),3,4)))</f>
        <v>3</v>
      </c>
      <c r="X123" s="11">
        <f>IF(Data!X123&lt;=QUARTILE(Data!X$4:X$153,1),1,IF(Data!X123&lt;=MEDIAN(Data!X$4:X$153),2,IF(Data!X123&lt;=QUARTILE(Data!X$4:X$153,3),3,4)))</f>
        <v>2</v>
      </c>
      <c r="Y123" s="11">
        <f>IF(Data!Y123&lt;=QUARTILE(Data!Y$4:Y$153,1),1,IF(Data!Y123&lt;=MEDIAN(Data!Y$4:Y$153),2,IF(Data!Y123&lt;=QUARTILE(Data!Y$4:Y$153,3),3,4)))</f>
        <v>3</v>
      </c>
      <c r="Z123" s="11">
        <f>IF(Data!Z123&lt;=QUARTILE(Data!Z$4:Z$153,1),1,IF(Data!Z123&lt;=MEDIAN(Data!Z$4:Z$153),2,IF(Data!Z123&lt;=QUARTILE(Data!Z$4:Z$153,3),3,4)))</f>
        <v>3</v>
      </c>
      <c r="AA123" s="11">
        <f>IF(Data!AA123&lt;=QUARTILE(Data!AA$4:AA$153,1),1,IF(Data!AA123&lt;=MEDIAN(Data!AA$4:AA$153),2,IF(Data!AA123&lt;=QUARTILE(Data!AA$4:AA$153,3),3,4)))</f>
        <v>3</v>
      </c>
      <c r="AB123" s="11">
        <f>IF(Data!AB123&lt;=QUARTILE(Data!AB$4:AB$153,1),1,IF(Data!AB123&lt;=MEDIAN(Data!AB$4:AB$153),2,IF(Data!AB123&lt;=QUARTILE(Data!AB$4:AB$153,3),3,4)))</f>
        <v>3</v>
      </c>
      <c r="AC123" s="11">
        <f>IF(Data!AC123&lt;=QUARTILE(Data!AC$4:AC$153,1),1,IF(Data!AC123&lt;=MEDIAN(Data!AC$4:AC$153),2,IF(Data!AC123&lt;=QUARTILE(Data!AC$4:AC$153,3),3,4)))</f>
        <v>3</v>
      </c>
      <c r="AD123" s="11">
        <f>IF(Data!AD123&lt;=QUARTILE(Data!AD$4:AD$153,1),1,IF(Data!AD123&lt;=MEDIAN(Data!AD$4:AD$153),2,IF(Data!AD123&lt;=QUARTILE(Data!AD$4:AD$153,3),3,4)))</f>
        <v>1</v>
      </c>
      <c r="AE123" s="11">
        <f>IF(Data!AE123&lt;=QUARTILE(Data!AE$4:AE$153,1),1,IF(Data!AE123&lt;=MEDIAN(Data!AE$4:AE$153),2,IF(Data!AE123&lt;=QUARTILE(Data!AE$4:AE$153,3),3,4)))</f>
        <v>1</v>
      </c>
      <c r="AF123" s="11">
        <f>IF(Data!AF123&lt;=QUARTILE(Data!AF$4:AF$153,1),1,IF(Data!AF123&lt;=MEDIAN(Data!AF$4:AF$153),2,IF(Data!AF123&lt;=QUARTILE(Data!AF$4:AF$153,3),3,4)))</f>
        <v>4</v>
      </c>
      <c r="AG123" s="11">
        <f>IF(Data!AG123&lt;=QUARTILE(Data!AG$4:AG$153,1),1,IF(Data!AG123&lt;=MEDIAN(Data!AG$4:AG$153),2,IF(Data!AG123&lt;=QUARTILE(Data!AG$4:AG$153,3),3,4)))</f>
        <v>4</v>
      </c>
      <c r="AH123" s="12">
        <f>IF(Data!AH123&lt;=QUARTILE(Data!AH$4:AH$153,1),1,IF(Data!AH123&lt;=MEDIAN(Data!AH$4:AH$153),2,IF(Data!AH123&lt;=QUARTILE(Data!AH$4:AH$153,3),3,4)))</f>
        <v>3</v>
      </c>
    </row>
    <row r="124" spans="1:34" x14ac:dyDescent="0.25">
      <c r="A124" s="4" t="s">
        <v>60</v>
      </c>
      <c r="B124" s="13" t="s">
        <v>72</v>
      </c>
      <c r="C124" s="4">
        <v>13</v>
      </c>
      <c r="D124" s="5">
        <v>69</v>
      </c>
      <c r="E124" s="41" t="s">
        <v>59</v>
      </c>
      <c r="F124" s="6">
        <v>-9.6199999999999992</v>
      </c>
      <c r="G124" s="4">
        <f>IF(Data!G124&lt;=QUARTILE(Data!G$4:G$153,1),1,IF(Data!G124&lt;=MEDIAN(Data!G$4:G$153),2,IF(Data!G124&lt;=QUARTILE(Data!G$4:G$153,3),3,4)))</f>
        <v>2</v>
      </c>
      <c r="H124" s="5">
        <f>IF(Data!H124&lt;=QUARTILE(Data!H$4:H$153,1),1,IF(Data!H124&lt;=MEDIAN(Data!H$4:H$153),2,IF(Data!H124&lt;=QUARTILE(Data!H$4:H$153,3),3,4)))</f>
        <v>3</v>
      </c>
      <c r="I124" s="5">
        <f>IF(Data!I124&lt;=QUARTILE(Data!I$4:I$153,1),1,IF(Data!I124&lt;=MEDIAN(Data!I$4:I$153),2,IF(Data!I124&lt;=QUARTILE(Data!I$4:I$153,3),3,4)))</f>
        <v>1</v>
      </c>
      <c r="J124" s="5">
        <f>IF(Data!J124&lt;=QUARTILE(Data!J$4:J$153,1),1,IF(Data!J124&lt;=MEDIAN(Data!J$4:J$153),2,IF(Data!J124&lt;=QUARTILE(Data!J$4:J$153,3),3,4)))</f>
        <v>1</v>
      </c>
      <c r="K124" s="5">
        <f>IF(Data!K124&lt;=QUARTILE(Data!K$4:K$153,1),1,IF(Data!K124&lt;=MEDIAN(Data!K$4:K$153),2,IF(Data!K124&lt;=QUARTILE(Data!K$4:K$153,3),3,4)))</f>
        <v>1</v>
      </c>
      <c r="L124" s="5">
        <f>IF(Data!L124&lt;=QUARTILE(Data!L$4:L$153,1),1,IF(Data!L124&lt;=MEDIAN(Data!L$4:L$153),2,IF(Data!L124&lt;=QUARTILE(Data!L$4:L$153,3),3,4)))</f>
        <v>2</v>
      </c>
      <c r="M124" s="5">
        <f>IF(Data!M124&lt;=QUARTILE(Data!M$4:M$153,1),1,IF(Data!M124&lt;=MEDIAN(Data!M$4:M$153),2,IF(Data!M124&lt;=QUARTILE(Data!M$4:M$153,3),3,4)))</f>
        <v>4</v>
      </c>
      <c r="N124" s="5">
        <f>IF(Data!N124&lt;=QUARTILE(Data!N$4:N$153,1),1,IF(Data!N124&lt;=MEDIAN(Data!N$4:N$153),2,IF(Data!N124&lt;=QUARTILE(Data!N$4:N$153,3),3,4)))</f>
        <v>1</v>
      </c>
      <c r="O124" s="5">
        <f>IF(Data!O124&lt;=QUARTILE(Data!O$4:O$153,1),1,IF(Data!O124&lt;=MEDIAN(Data!O$4:O$153),2,IF(Data!O124&lt;=QUARTILE(Data!O$4:O$153,3),3,4)))</f>
        <v>1</v>
      </c>
      <c r="P124" s="5">
        <f>IF(Data!P124&lt;=QUARTILE(Data!P$4:P$153,1),1,IF(Data!P124&lt;=MEDIAN(Data!P$4:P$153),2,IF(Data!P124&lt;=QUARTILE(Data!P$4:P$153,3),3,4)))</f>
        <v>3</v>
      </c>
      <c r="Q124" s="5">
        <f>IF(Data!Q124&lt;=QUARTILE(Data!Q$4:Q$153,1),1,IF(Data!Q124&lt;=MEDIAN(Data!Q$4:Q$153),2,IF(Data!Q124&lt;=QUARTILE(Data!Q$4:Q$153,3),3,4)))</f>
        <v>2</v>
      </c>
      <c r="R124" s="5">
        <f>IF(Data!R124&lt;=QUARTILE(Data!R$4:R$153,1),1,IF(Data!R124&lt;=MEDIAN(Data!R$4:R$153),2,IF(Data!R124&lt;=QUARTILE(Data!R$4:R$153,3),3,4)))</f>
        <v>4</v>
      </c>
      <c r="S124" s="5">
        <f>IF(Data!S124&lt;=QUARTILE(Data!S$4:S$153,1),1,IF(Data!S124&lt;=MEDIAN(Data!S$4:S$153),2,IF(Data!S124&lt;=QUARTILE(Data!S$4:S$153,3),3,4)))</f>
        <v>4</v>
      </c>
      <c r="T124" s="6">
        <f>IF(Data!T124&lt;=QUARTILE(Data!T$4:T$153,1),1,IF(Data!T124&lt;=MEDIAN(Data!T$4:T$153),2,IF(Data!T124&lt;=QUARTILE(Data!T$4:T$153,3),3,4)))</f>
        <v>1</v>
      </c>
      <c r="U124" s="4">
        <f>IF(Data!U124&lt;=QUARTILE(Data!U$4:U$153,1),1,IF(Data!U124&lt;=MEDIAN(Data!U$4:U$153),2,IF(Data!U124&lt;=QUARTILE(Data!U$4:U$153,3),3,4)))</f>
        <v>3</v>
      </c>
      <c r="V124" s="5">
        <f>IF(Data!V124&lt;=QUARTILE(Data!V$4:V$153,1),1,IF(Data!V124&lt;=MEDIAN(Data!V$4:V$153),2,IF(Data!V124&lt;=QUARTILE(Data!V$4:V$153,3),3,4)))</f>
        <v>1</v>
      </c>
      <c r="W124" s="5">
        <f>IF(Data!W124&lt;=QUARTILE(Data!W$4:W$153,1),1,IF(Data!W124&lt;=MEDIAN(Data!W$4:W$153),2,IF(Data!W124&lt;=QUARTILE(Data!W$4:W$153,3),3,4)))</f>
        <v>2</v>
      </c>
      <c r="X124" s="5">
        <f>IF(Data!X124&lt;=QUARTILE(Data!X$4:X$153,1),1,IF(Data!X124&lt;=MEDIAN(Data!X$4:X$153),2,IF(Data!X124&lt;=QUARTILE(Data!X$4:X$153,3),3,4)))</f>
        <v>1</v>
      </c>
      <c r="Y124" s="5">
        <f>IF(Data!Y124&lt;=QUARTILE(Data!Y$4:Y$153,1),1,IF(Data!Y124&lt;=MEDIAN(Data!Y$4:Y$153),2,IF(Data!Y124&lt;=QUARTILE(Data!Y$4:Y$153,3),3,4)))</f>
        <v>4</v>
      </c>
      <c r="Z124" s="5">
        <f>IF(Data!Z124&lt;=QUARTILE(Data!Z$4:Z$153,1),1,IF(Data!Z124&lt;=MEDIAN(Data!Z$4:Z$153),2,IF(Data!Z124&lt;=QUARTILE(Data!Z$4:Z$153,3),3,4)))</f>
        <v>4</v>
      </c>
      <c r="AA124" s="5">
        <f>IF(Data!AA124&lt;=QUARTILE(Data!AA$4:AA$153,1),1,IF(Data!AA124&lt;=MEDIAN(Data!AA$4:AA$153),2,IF(Data!AA124&lt;=QUARTILE(Data!AA$4:AA$153,3),3,4)))</f>
        <v>2</v>
      </c>
      <c r="AB124" s="5">
        <f>IF(Data!AB124&lt;=QUARTILE(Data!AB$4:AB$153,1),1,IF(Data!AB124&lt;=MEDIAN(Data!AB$4:AB$153),2,IF(Data!AB124&lt;=QUARTILE(Data!AB$4:AB$153,3),3,4)))</f>
        <v>3</v>
      </c>
      <c r="AC124" s="5">
        <f>IF(Data!AC124&lt;=QUARTILE(Data!AC$4:AC$153,1),1,IF(Data!AC124&lt;=MEDIAN(Data!AC$4:AC$153),2,IF(Data!AC124&lt;=QUARTILE(Data!AC$4:AC$153,3),3,4)))</f>
        <v>3</v>
      </c>
      <c r="AD124" s="5">
        <f>IF(Data!AD124&lt;=QUARTILE(Data!AD$4:AD$153,1),1,IF(Data!AD124&lt;=MEDIAN(Data!AD$4:AD$153),2,IF(Data!AD124&lt;=QUARTILE(Data!AD$4:AD$153,3),3,4)))</f>
        <v>4</v>
      </c>
      <c r="AE124" s="5">
        <f>IF(Data!AE124&lt;=QUARTILE(Data!AE$4:AE$153,1),1,IF(Data!AE124&lt;=MEDIAN(Data!AE$4:AE$153),2,IF(Data!AE124&lt;=QUARTILE(Data!AE$4:AE$153,3),3,4)))</f>
        <v>4</v>
      </c>
      <c r="AF124" s="5">
        <f>IF(Data!AF124&lt;=QUARTILE(Data!AF$4:AF$153,1),1,IF(Data!AF124&lt;=MEDIAN(Data!AF$4:AF$153),2,IF(Data!AF124&lt;=QUARTILE(Data!AF$4:AF$153,3),3,4)))</f>
        <v>3</v>
      </c>
      <c r="AG124" s="5">
        <f>IF(Data!AG124&lt;=QUARTILE(Data!AG$4:AG$153,1),1,IF(Data!AG124&lt;=MEDIAN(Data!AG$4:AG$153),2,IF(Data!AG124&lt;=QUARTILE(Data!AG$4:AG$153,3),3,4)))</f>
        <v>2</v>
      </c>
      <c r="AH124" s="6">
        <f>IF(Data!AH124&lt;=QUARTILE(Data!AH$4:AH$153,1),1,IF(Data!AH124&lt;=MEDIAN(Data!AH$4:AH$153),2,IF(Data!AH124&lt;=QUARTILE(Data!AH$4:AH$153,3),3,4)))</f>
        <v>4</v>
      </c>
    </row>
    <row r="125" spans="1:34" x14ac:dyDescent="0.25">
      <c r="A125" s="7" t="s">
        <v>61</v>
      </c>
      <c r="B125" s="14" t="s">
        <v>72</v>
      </c>
      <c r="C125" s="7">
        <v>45</v>
      </c>
      <c r="D125" s="8">
        <v>37</v>
      </c>
      <c r="E125" s="42" t="s">
        <v>58</v>
      </c>
      <c r="F125" s="9">
        <v>0.34</v>
      </c>
      <c r="G125" s="7">
        <f>IF(Data!G125&lt;=QUARTILE(Data!G$4:G$153,1),1,IF(Data!G125&lt;=MEDIAN(Data!G$4:G$153),2,IF(Data!G125&lt;=QUARTILE(Data!G$4:G$153,3),3,4)))</f>
        <v>3</v>
      </c>
      <c r="H125" s="8">
        <f>IF(Data!H125&lt;=QUARTILE(Data!H$4:H$153,1),1,IF(Data!H125&lt;=MEDIAN(Data!H$4:H$153),2,IF(Data!H125&lt;=QUARTILE(Data!H$4:H$153,3),3,4)))</f>
        <v>2</v>
      </c>
      <c r="I125" s="8">
        <f>IF(Data!I125&lt;=QUARTILE(Data!I$4:I$153,1),1,IF(Data!I125&lt;=MEDIAN(Data!I$4:I$153),2,IF(Data!I125&lt;=QUARTILE(Data!I$4:I$153,3),3,4)))</f>
        <v>2</v>
      </c>
      <c r="J125" s="8">
        <f>IF(Data!J125&lt;=QUARTILE(Data!J$4:J$153,1),1,IF(Data!J125&lt;=MEDIAN(Data!J$4:J$153),2,IF(Data!J125&lt;=QUARTILE(Data!J$4:J$153,3),3,4)))</f>
        <v>2</v>
      </c>
      <c r="K125" s="8">
        <f>IF(Data!K125&lt;=QUARTILE(Data!K$4:K$153,1),1,IF(Data!K125&lt;=MEDIAN(Data!K$4:K$153),2,IF(Data!K125&lt;=QUARTILE(Data!K$4:K$153,3),3,4)))</f>
        <v>4</v>
      </c>
      <c r="L125" s="8">
        <f>IF(Data!L125&lt;=QUARTILE(Data!L$4:L$153,1),1,IF(Data!L125&lt;=MEDIAN(Data!L$4:L$153),2,IF(Data!L125&lt;=QUARTILE(Data!L$4:L$153,3),3,4)))</f>
        <v>4</v>
      </c>
      <c r="M125" s="8">
        <f>IF(Data!M125&lt;=QUARTILE(Data!M$4:M$153,1),1,IF(Data!M125&lt;=MEDIAN(Data!M$4:M$153),2,IF(Data!M125&lt;=QUARTILE(Data!M$4:M$153,3),3,4)))</f>
        <v>2</v>
      </c>
      <c r="N125" s="8">
        <f>IF(Data!N125&lt;=QUARTILE(Data!N$4:N$153,1),1,IF(Data!N125&lt;=MEDIAN(Data!N$4:N$153),2,IF(Data!N125&lt;=QUARTILE(Data!N$4:N$153,3),3,4)))</f>
        <v>2</v>
      </c>
      <c r="O125" s="8">
        <f>IF(Data!O125&lt;=QUARTILE(Data!O$4:O$153,1),1,IF(Data!O125&lt;=MEDIAN(Data!O$4:O$153),2,IF(Data!O125&lt;=QUARTILE(Data!O$4:O$153,3),3,4)))</f>
        <v>3</v>
      </c>
      <c r="P125" s="8">
        <f>IF(Data!P125&lt;=QUARTILE(Data!P$4:P$153,1),1,IF(Data!P125&lt;=MEDIAN(Data!P$4:P$153),2,IF(Data!P125&lt;=QUARTILE(Data!P$4:P$153,3),3,4)))</f>
        <v>4</v>
      </c>
      <c r="Q125" s="8">
        <f>IF(Data!Q125&lt;=QUARTILE(Data!Q$4:Q$153,1),1,IF(Data!Q125&lt;=MEDIAN(Data!Q$4:Q$153),2,IF(Data!Q125&lt;=QUARTILE(Data!Q$4:Q$153,3),3,4)))</f>
        <v>3</v>
      </c>
      <c r="R125" s="8">
        <f>IF(Data!R125&lt;=QUARTILE(Data!R$4:R$153,1),1,IF(Data!R125&lt;=MEDIAN(Data!R$4:R$153),2,IF(Data!R125&lt;=QUARTILE(Data!R$4:R$153,3),3,4)))</f>
        <v>4</v>
      </c>
      <c r="S125" s="8">
        <f>IF(Data!S125&lt;=QUARTILE(Data!S$4:S$153,1),1,IF(Data!S125&lt;=MEDIAN(Data!S$4:S$153),2,IF(Data!S125&lt;=QUARTILE(Data!S$4:S$153,3),3,4)))</f>
        <v>4</v>
      </c>
      <c r="T125" s="9">
        <f>IF(Data!T125&lt;=QUARTILE(Data!T$4:T$153,1),1,IF(Data!T125&lt;=MEDIAN(Data!T$4:T$153),2,IF(Data!T125&lt;=QUARTILE(Data!T$4:T$153,3),3,4)))</f>
        <v>4</v>
      </c>
      <c r="U125" s="7">
        <f>IF(Data!U125&lt;=QUARTILE(Data!U$4:U$153,1),1,IF(Data!U125&lt;=MEDIAN(Data!U$4:U$153),2,IF(Data!U125&lt;=QUARTILE(Data!U$4:U$153,3),3,4)))</f>
        <v>2</v>
      </c>
      <c r="V125" s="8">
        <f>IF(Data!V125&lt;=QUARTILE(Data!V$4:V$153,1),1,IF(Data!V125&lt;=MEDIAN(Data!V$4:V$153),2,IF(Data!V125&lt;=QUARTILE(Data!V$4:V$153,3),3,4)))</f>
        <v>3</v>
      </c>
      <c r="W125" s="8">
        <f>IF(Data!W125&lt;=QUARTILE(Data!W$4:W$153,1),1,IF(Data!W125&lt;=MEDIAN(Data!W$4:W$153),2,IF(Data!W125&lt;=QUARTILE(Data!W$4:W$153,3),3,4)))</f>
        <v>2</v>
      </c>
      <c r="X125" s="8">
        <f>IF(Data!X125&lt;=QUARTILE(Data!X$4:X$153,1),1,IF(Data!X125&lt;=MEDIAN(Data!X$4:X$153),2,IF(Data!X125&lt;=QUARTILE(Data!X$4:X$153,3),3,4)))</f>
        <v>2</v>
      </c>
      <c r="Y125" s="8">
        <f>IF(Data!Y125&lt;=QUARTILE(Data!Y$4:Y$153,1),1,IF(Data!Y125&lt;=MEDIAN(Data!Y$4:Y$153),2,IF(Data!Y125&lt;=QUARTILE(Data!Y$4:Y$153,3),3,4)))</f>
        <v>4</v>
      </c>
      <c r="Z125" s="8">
        <f>IF(Data!Z125&lt;=QUARTILE(Data!Z$4:Z$153,1),1,IF(Data!Z125&lt;=MEDIAN(Data!Z$4:Z$153),2,IF(Data!Z125&lt;=QUARTILE(Data!Z$4:Z$153,3),3,4)))</f>
        <v>4</v>
      </c>
      <c r="AA125" s="8">
        <f>IF(Data!AA125&lt;=QUARTILE(Data!AA$4:AA$153,1),1,IF(Data!AA125&lt;=MEDIAN(Data!AA$4:AA$153),2,IF(Data!AA125&lt;=QUARTILE(Data!AA$4:AA$153,3),3,4)))</f>
        <v>4</v>
      </c>
      <c r="AB125" s="8">
        <f>IF(Data!AB125&lt;=QUARTILE(Data!AB$4:AB$153,1),1,IF(Data!AB125&lt;=MEDIAN(Data!AB$4:AB$153),2,IF(Data!AB125&lt;=QUARTILE(Data!AB$4:AB$153,3),3,4)))</f>
        <v>2</v>
      </c>
      <c r="AC125" s="8">
        <f>IF(Data!AC125&lt;=QUARTILE(Data!AC$4:AC$153,1),1,IF(Data!AC125&lt;=MEDIAN(Data!AC$4:AC$153),2,IF(Data!AC125&lt;=QUARTILE(Data!AC$4:AC$153,3),3,4)))</f>
        <v>4</v>
      </c>
      <c r="AD125" s="8">
        <f>IF(Data!AD125&lt;=QUARTILE(Data!AD$4:AD$153,1),1,IF(Data!AD125&lt;=MEDIAN(Data!AD$4:AD$153),2,IF(Data!AD125&lt;=QUARTILE(Data!AD$4:AD$153,3),3,4)))</f>
        <v>4</v>
      </c>
      <c r="AE125" s="8">
        <f>IF(Data!AE125&lt;=QUARTILE(Data!AE$4:AE$153,1),1,IF(Data!AE125&lt;=MEDIAN(Data!AE$4:AE$153),2,IF(Data!AE125&lt;=QUARTILE(Data!AE$4:AE$153,3),3,4)))</f>
        <v>3</v>
      </c>
      <c r="AF125" s="8">
        <f>IF(Data!AF125&lt;=QUARTILE(Data!AF$4:AF$153,1),1,IF(Data!AF125&lt;=MEDIAN(Data!AF$4:AF$153),2,IF(Data!AF125&lt;=QUARTILE(Data!AF$4:AF$153,3),3,4)))</f>
        <v>4</v>
      </c>
      <c r="AG125" s="8">
        <f>IF(Data!AG125&lt;=QUARTILE(Data!AG$4:AG$153,1),1,IF(Data!AG125&lt;=MEDIAN(Data!AG$4:AG$153),2,IF(Data!AG125&lt;=QUARTILE(Data!AG$4:AG$153,3),3,4)))</f>
        <v>4</v>
      </c>
      <c r="AH125" s="9">
        <f>IF(Data!AH125&lt;=QUARTILE(Data!AH$4:AH$153,1),1,IF(Data!AH125&lt;=MEDIAN(Data!AH$4:AH$153),2,IF(Data!AH125&lt;=QUARTILE(Data!AH$4:AH$153,3),3,4)))</f>
        <v>3</v>
      </c>
    </row>
    <row r="126" spans="1:34" x14ac:dyDescent="0.25">
      <c r="A126" s="7" t="s">
        <v>29</v>
      </c>
      <c r="B126" s="14" t="s">
        <v>72</v>
      </c>
      <c r="C126" s="7">
        <v>18</v>
      </c>
      <c r="D126" s="8">
        <v>64</v>
      </c>
      <c r="E126" s="42" t="s">
        <v>59</v>
      </c>
      <c r="F126" s="9">
        <v>-6.16</v>
      </c>
      <c r="G126" s="7">
        <f>IF(Data!G126&lt;=QUARTILE(Data!G$4:G$153,1),1,IF(Data!G126&lt;=MEDIAN(Data!G$4:G$153),2,IF(Data!G126&lt;=QUARTILE(Data!G$4:G$153,3),3,4)))</f>
        <v>2</v>
      </c>
      <c r="H126" s="8">
        <f>IF(Data!H126&lt;=QUARTILE(Data!H$4:H$153,1),1,IF(Data!H126&lt;=MEDIAN(Data!H$4:H$153),2,IF(Data!H126&lt;=QUARTILE(Data!H$4:H$153,3),3,4)))</f>
        <v>4</v>
      </c>
      <c r="I126" s="8">
        <f>IF(Data!I126&lt;=QUARTILE(Data!I$4:I$153,1),1,IF(Data!I126&lt;=MEDIAN(Data!I$4:I$153),2,IF(Data!I126&lt;=QUARTILE(Data!I$4:I$153,3),3,4)))</f>
        <v>1</v>
      </c>
      <c r="J126" s="8">
        <f>IF(Data!J126&lt;=QUARTILE(Data!J$4:J$153,1),1,IF(Data!J126&lt;=MEDIAN(Data!J$4:J$153),2,IF(Data!J126&lt;=QUARTILE(Data!J$4:J$153,3),3,4)))</f>
        <v>1</v>
      </c>
      <c r="K126" s="8">
        <f>IF(Data!K126&lt;=QUARTILE(Data!K$4:K$153,1),1,IF(Data!K126&lt;=MEDIAN(Data!K$4:K$153),2,IF(Data!K126&lt;=QUARTILE(Data!K$4:K$153,3),3,4)))</f>
        <v>1</v>
      </c>
      <c r="L126" s="8">
        <f>IF(Data!L126&lt;=QUARTILE(Data!L$4:L$153,1),1,IF(Data!L126&lt;=MEDIAN(Data!L$4:L$153),2,IF(Data!L126&lt;=QUARTILE(Data!L$4:L$153,3),3,4)))</f>
        <v>3</v>
      </c>
      <c r="M126" s="8">
        <f>IF(Data!M126&lt;=QUARTILE(Data!M$4:M$153,1),1,IF(Data!M126&lt;=MEDIAN(Data!M$4:M$153),2,IF(Data!M126&lt;=QUARTILE(Data!M$4:M$153,3),3,4)))</f>
        <v>4</v>
      </c>
      <c r="N126" s="8">
        <f>IF(Data!N126&lt;=QUARTILE(Data!N$4:N$153,1),1,IF(Data!N126&lt;=MEDIAN(Data!N$4:N$153),2,IF(Data!N126&lt;=QUARTILE(Data!N$4:N$153,3),3,4)))</f>
        <v>1</v>
      </c>
      <c r="O126" s="8">
        <f>IF(Data!O126&lt;=QUARTILE(Data!O$4:O$153,1),1,IF(Data!O126&lt;=MEDIAN(Data!O$4:O$153),2,IF(Data!O126&lt;=QUARTILE(Data!O$4:O$153,3),3,4)))</f>
        <v>3</v>
      </c>
      <c r="P126" s="8">
        <f>IF(Data!P126&lt;=QUARTILE(Data!P$4:P$153,1),1,IF(Data!P126&lt;=MEDIAN(Data!P$4:P$153),2,IF(Data!P126&lt;=QUARTILE(Data!P$4:P$153,3),3,4)))</f>
        <v>4</v>
      </c>
      <c r="Q126" s="8">
        <f>IF(Data!Q126&lt;=QUARTILE(Data!Q$4:Q$153,1),1,IF(Data!Q126&lt;=MEDIAN(Data!Q$4:Q$153),2,IF(Data!Q126&lt;=QUARTILE(Data!Q$4:Q$153,3),3,4)))</f>
        <v>4</v>
      </c>
      <c r="R126" s="8">
        <f>IF(Data!R126&lt;=QUARTILE(Data!R$4:R$153,1),1,IF(Data!R126&lt;=MEDIAN(Data!R$4:R$153),2,IF(Data!R126&lt;=QUARTILE(Data!R$4:R$153,3),3,4)))</f>
        <v>3</v>
      </c>
      <c r="S126" s="8">
        <f>IF(Data!S126&lt;=QUARTILE(Data!S$4:S$153,1),1,IF(Data!S126&lt;=MEDIAN(Data!S$4:S$153),2,IF(Data!S126&lt;=QUARTILE(Data!S$4:S$153,3),3,4)))</f>
        <v>3</v>
      </c>
      <c r="T126" s="9">
        <f>IF(Data!T126&lt;=QUARTILE(Data!T$4:T$153,1),1,IF(Data!T126&lt;=MEDIAN(Data!T$4:T$153),2,IF(Data!T126&lt;=QUARTILE(Data!T$4:T$153,3),3,4)))</f>
        <v>1</v>
      </c>
      <c r="U126" s="7">
        <f>IF(Data!U126&lt;=QUARTILE(Data!U$4:U$153,1),1,IF(Data!U126&lt;=MEDIAN(Data!U$4:U$153),2,IF(Data!U126&lt;=QUARTILE(Data!U$4:U$153,3),3,4)))</f>
        <v>3</v>
      </c>
      <c r="V126" s="8">
        <f>IF(Data!V126&lt;=QUARTILE(Data!V$4:V$153,1),1,IF(Data!V126&lt;=MEDIAN(Data!V$4:V$153),2,IF(Data!V126&lt;=QUARTILE(Data!V$4:V$153,3),3,4)))</f>
        <v>2</v>
      </c>
      <c r="W126" s="8">
        <f>IF(Data!W126&lt;=QUARTILE(Data!W$4:W$153,1),1,IF(Data!W126&lt;=MEDIAN(Data!W$4:W$153),2,IF(Data!W126&lt;=QUARTILE(Data!W$4:W$153,3),3,4)))</f>
        <v>1</v>
      </c>
      <c r="X126" s="8">
        <f>IF(Data!X126&lt;=QUARTILE(Data!X$4:X$153,1),1,IF(Data!X126&lt;=MEDIAN(Data!X$4:X$153),2,IF(Data!X126&lt;=QUARTILE(Data!X$4:X$153,3),3,4)))</f>
        <v>1</v>
      </c>
      <c r="Y126" s="8">
        <f>IF(Data!Y126&lt;=QUARTILE(Data!Y$4:Y$153,1),1,IF(Data!Y126&lt;=MEDIAN(Data!Y$4:Y$153),2,IF(Data!Y126&lt;=QUARTILE(Data!Y$4:Y$153,3),3,4)))</f>
        <v>4</v>
      </c>
      <c r="Z126" s="8">
        <f>IF(Data!Z126&lt;=QUARTILE(Data!Z$4:Z$153,1),1,IF(Data!Z126&lt;=MEDIAN(Data!Z$4:Z$153),2,IF(Data!Z126&lt;=QUARTILE(Data!Z$4:Z$153,3),3,4)))</f>
        <v>4</v>
      </c>
      <c r="AA126" s="8">
        <f>IF(Data!AA126&lt;=QUARTILE(Data!AA$4:AA$153,1),1,IF(Data!AA126&lt;=MEDIAN(Data!AA$4:AA$153),2,IF(Data!AA126&lt;=QUARTILE(Data!AA$4:AA$153,3),3,4)))</f>
        <v>3</v>
      </c>
      <c r="AB126" s="8">
        <f>IF(Data!AB126&lt;=QUARTILE(Data!AB$4:AB$153,1),1,IF(Data!AB126&lt;=MEDIAN(Data!AB$4:AB$153),2,IF(Data!AB126&lt;=QUARTILE(Data!AB$4:AB$153,3),3,4)))</f>
        <v>4</v>
      </c>
      <c r="AC126" s="8">
        <f>IF(Data!AC126&lt;=QUARTILE(Data!AC$4:AC$153,1),1,IF(Data!AC126&lt;=MEDIAN(Data!AC$4:AC$153),2,IF(Data!AC126&lt;=QUARTILE(Data!AC$4:AC$153,3),3,4)))</f>
        <v>3</v>
      </c>
      <c r="AD126" s="8">
        <f>IF(Data!AD126&lt;=QUARTILE(Data!AD$4:AD$153,1),1,IF(Data!AD126&lt;=MEDIAN(Data!AD$4:AD$153),2,IF(Data!AD126&lt;=QUARTILE(Data!AD$4:AD$153,3),3,4)))</f>
        <v>3</v>
      </c>
      <c r="AE126" s="8">
        <f>IF(Data!AE126&lt;=QUARTILE(Data!AE$4:AE$153,1),1,IF(Data!AE126&lt;=MEDIAN(Data!AE$4:AE$153),2,IF(Data!AE126&lt;=QUARTILE(Data!AE$4:AE$153,3),3,4)))</f>
        <v>4</v>
      </c>
      <c r="AF126" s="8">
        <f>IF(Data!AF126&lt;=QUARTILE(Data!AF$4:AF$153,1),1,IF(Data!AF126&lt;=MEDIAN(Data!AF$4:AF$153),2,IF(Data!AF126&lt;=QUARTILE(Data!AF$4:AF$153,3),3,4)))</f>
        <v>4</v>
      </c>
      <c r="AG126" s="8">
        <f>IF(Data!AG126&lt;=QUARTILE(Data!AG$4:AG$153,1),1,IF(Data!AG126&lt;=MEDIAN(Data!AG$4:AG$153),2,IF(Data!AG126&lt;=QUARTILE(Data!AG$4:AG$153,3),3,4)))</f>
        <v>3</v>
      </c>
      <c r="AH126" s="9">
        <f>IF(Data!AH126&lt;=QUARTILE(Data!AH$4:AH$153,1),1,IF(Data!AH126&lt;=MEDIAN(Data!AH$4:AH$153),2,IF(Data!AH126&lt;=QUARTILE(Data!AH$4:AH$153,3),3,4)))</f>
        <v>3</v>
      </c>
    </row>
    <row r="127" spans="1:34" x14ac:dyDescent="0.25">
      <c r="A127" s="7" t="s">
        <v>53</v>
      </c>
      <c r="B127" s="14" t="s">
        <v>72</v>
      </c>
      <c r="C127" s="7">
        <v>47</v>
      </c>
      <c r="D127" s="8">
        <v>35</v>
      </c>
      <c r="E127" s="42" t="s">
        <v>58</v>
      </c>
      <c r="F127" s="9">
        <v>0.65</v>
      </c>
      <c r="G127" s="7">
        <f>IF(Data!G127&lt;=QUARTILE(Data!G$4:G$153,1),1,IF(Data!G127&lt;=MEDIAN(Data!G$4:G$153),2,IF(Data!G127&lt;=QUARTILE(Data!G$4:G$153,3),3,4)))</f>
        <v>1</v>
      </c>
      <c r="H127" s="8">
        <f>IF(Data!H127&lt;=QUARTILE(Data!H$4:H$153,1),1,IF(Data!H127&lt;=MEDIAN(Data!H$4:H$153),2,IF(Data!H127&lt;=QUARTILE(Data!H$4:H$153,3),3,4)))</f>
        <v>3</v>
      </c>
      <c r="I127" s="8">
        <f>IF(Data!I127&lt;=QUARTILE(Data!I$4:I$153,1),1,IF(Data!I127&lt;=MEDIAN(Data!I$4:I$153),2,IF(Data!I127&lt;=QUARTILE(Data!I$4:I$153,3),3,4)))</f>
        <v>3</v>
      </c>
      <c r="J127" s="8">
        <f>IF(Data!J127&lt;=QUARTILE(Data!J$4:J$153,1),1,IF(Data!J127&lt;=MEDIAN(Data!J$4:J$153),2,IF(Data!J127&lt;=QUARTILE(Data!J$4:J$153,3),3,4)))</f>
        <v>3</v>
      </c>
      <c r="K127" s="8">
        <f>IF(Data!K127&lt;=QUARTILE(Data!K$4:K$153,1),1,IF(Data!K127&lt;=MEDIAN(Data!K$4:K$153),2,IF(Data!K127&lt;=QUARTILE(Data!K$4:K$153,3),3,4)))</f>
        <v>2</v>
      </c>
      <c r="L127" s="8">
        <f>IF(Data!L127&lt;=QUARTILE(Data!L$4:L$153,1),1,IF(Data!L127&lt;=MEDIAN(Data!L$4:L$153),2,IF(Data!L127&lt;=QUARTILE(Data!L$4:L$153,3),3,4)))</f>
        <v>2</v>
      </c>
      <c r="M127" s="8">
        <f>IF(Data!M127&lt;=QUARTILE(Data!M$4:M$153,1),1,IF(Data!M127&lt;=MEDIAN(Data!M$4:M$153),2,IF(Data!M127&lt;=QUARTILE(Data!M$4:M$153,3),3,4)))</f>
        <v>4</v>
      </c>
      <c r="N127" s="8">
        <f>IF(Data!N127&lt;=QUARTILE(Data!N$4:N$153,1),1,IF(Data!N127&lt;=MEDIAN(Data!N$4:N$153),2,IF(Data!N127&lt;=QUARTILE(Data!N$4:N$153,3),3,4)))</f>
        <v>4</v>
      </c>
      <c r="O127" s="8">
        <f>IF(Data!O127&lt;=QUARTILE(Data!O$4:O$153,1),1,IF(Data!O127&lt;=MEDIAN(Data!O$4:O$153),2,IF(Data!O127&lt;=QUARTILE(Data!O$4:O$153,3),3,4)))</f>
        <v>3</v>
      </c>
      <c r="P127" s="8">
        <f>IF(Data!P127&lt;=QUARTILE(Data!P$4:P$153,1),1,IF(Data!P127&lt;=MEDIAN(Data!P$4:P$153),2,IF(Data!P127&lt;=QUARTILE(Data!P$4:P$153,3),3,4)))</f>
        <v>2</v>
      </c>
      <c r="Q127" s="8">
        <f>IF(Data!Q127&lt;=QUARTILE(Data!Q$4:Q$153,1),1,IF(Data!Q127&lt;=MEDIAN(Data!Q$4:Q$153),2,IF(Data!Q127&lt;=QUARTILE(Data!Q$4:Q$153,3),3,4)))</f>
        <v>2</v>
      </c>
      <c r="R127" s="8">
        <f>IF(Data!R127&lt;=QUARTILE(Data!R$4:R$153,1),1,IF(Data!R127&lt;=MEDIAN(Data!R$4:R$153),2,IF(Data!R127&lt;=QUARTILE(Data!R$4:R$153,3),3,4)))</f>
        <v>4</v>
      </c>
      <c r="S127" s="8">
        <f>IF(Data!S127&lt;=QUARTILE(Data!S$4:S$153,1),1,IF(Data!S127&lt;=MEDIAN(Data!S$4:S$153),2,IF(Data!S127&lt;=QUARTILE(Data!S$4:S$153,3),3,4)))</f>
        <v>4</v>
      </c>
      <c r="T127" s="9">
        <f>IF(Data!T127&lt;=QUARTILE(Data!T$4:T$153,1),1,IF(Data!T127&lt;=MEDIAN(Data!T$4:T$153),2,IF(Data!T127&lt;=QUARTILE(Data!T$4:T$153,3),3,4)))</f>
        <v>1</v>
      </c>
      <c r="U127" s="7">
        <f>IF(Data!U127&lt;=QUARTILE(Data!U$4:U$153,1),1,IF(Data!U127&lt;=MEDIAN(Data!U$4:U$153),2,IF(Data!U127&lt;=QUARTILE(Data!U$4:U$153,3),3,4)))</f>
        <v>1</v>
      </c>
      <c r="V127" s="8">
        <f>IF(Data!V127&lt;=QUARTILE(Data!V$4:V$153,1),1,IF(Data!V127&lt;=MEDIAN(Data!V$4:V$153),2,IF(Data!V127&lt;=QUARTILE(Data!V$4:V$153,3),3,4)))</f>
        <v>2</v>
      </c>
      <c r="W127" s="8">
        <f>IF(Data!W127&lt;=QUARTILE(Data!W$4:W$153,1),1,IF(Data!W127&lt;=MEDIAN(Data!W$4:W$153),2,IF(Data!W127&lt;=QUARTILE(Data!W$4:W$153,3),3,4)))</f>
        <v>1</v>
      </c>
      <c r="X127" s="8">
        <f>IF(Data!X127&lt;=QUARTILE(Data!X$4:X$153,1),1,IF(Data!X127&lt;=MEDIAN(Data!X$4:X$153),2,IF(Data!X127&lt;=QUARTILE(Data!X$4:X$153,3),3,4)))</f>
        <v>1</v>
      </c>
      <c r="Y127" s="8">
        <f>IF(Data!Y127&lt;=QUARTILE(Data!Y$4:Y$153,1),1,IF(Data!Y127&lt;=MEDIAN(Data!Y$4:Y$153),2,IF(Data!Y127&lt;=QUARTILE(Data!Y$4:Y$153,3),3,4)))</f>
        <v>4</v>
      </c>
      <c r="Z127" s="8">
        <f>IF(Data!Z127&lt;=QUARTILE(Data!Z$4:Z$153,1),1,IF(Data!Z127&lt;=MEDIAN(Data!Z$4:Z$153),2,IF(Data!Z127&lt;=QUARTILE(Data!Z$4:Z$153,3),3,4)))</f>
        <v>4</v>
      </c>
      <c r="AA127" s="8">
        <f>IF(Data!AA127&lt;=QUARTILE(Data!AA$4:AA$153,1),1,IF(Data!AA127&lt;=MEDIAN(Data!AA$4:AA$153),2,IF(Data!AA127&lt;=QUARTILE(Data!AA$4:AA$153,3),3,4)))</f>
        <v>4</v>
      </c>
      <c r="AB127" s="8">
        <f>IF(Data!AB127&lt;=QUARTILE(Data!AB$4:AB$153,1),1,IF(Data!AB127&lt;=MEDIAN(Data!AB$4:AB$153),2,IF(Data!AB127&lt;=QUARTILE(Data!AB$4:AB$153,3),3,4)))</f>
        <v>3</v>
      </c>
      <c r="AC127" s="8">
        <f>IF(Data!AC127&lt;=QUARTILE(Data!AC$4:AC$153,1),1,IF(Data!AC127&lt;=MEDIAN(Data!AC$4:AC$153),2,IF(Data!AC127&lt;=QUARTILE(Data!AC$4:AC$153,3),3,4)))</f>
        <v>2</v>
      </c>
      <c r="AD127" s="8">
        <f>IF(Data!AD127&lt;=QUARTILE(Data!AD$4:AD$153,1),1,IF(Data!AD127&lt;=MEDIAN(Data!AD$4:AD$153),2,IF(Data!AD127&lt;=QUARTILE(Data!AD$4:AD$153,3),3,4)))</f>
        <v>4</v>
      </c>
      <c r="AE127" s="8">
        <f>IF(Data!AE127&lt;=QUARTILE(Data!AE$4:AE$153,1),1,IF(Data!AE127&lt;=MEDIAN(Data!AE$4:AE$153),2,IF(Data!AE127&lt;=QUARTILE(Data!AE$4:AE$153,3),3,4)))</f>
        <v>4</v>
      </c>
      <c r="AF127" s="8">
        <f>IF(Data!AF127&lt;=QUARTILE(Data!AF$4:AF$153,1),1,IF(Data!AF127&lt;=MEDIAN(Data!AF$4:AF$153),2,IF(Data!AF127&lt;=QUARTILE(Data!AF$4:AF$153,3),3,4)))</f>
        <v>4</v>
      </c>
      <c r="AG127" s="8">
        <f>IF(Data!AG127&lt;=QUARTILE(Data!AG$4:AG$153,1),1,IF(Data!AG127&lt;=MEDIAN(Data!AG$4:AG$153),2,IF(Data!AG127&lt;=QUARTILE(Data!AG$4:AG$153,3),3,4)))</f>
        <v>4</v>
      </c>
      <c r="AH127" s="9">
        <f>IF(Data!AH127&lt;=QUARTILE(Data!AH$4:AH$153,1),1,IF(Data!AH127&lt;=MEDIAN(Data!AH$4:AH$153),2,IF(Data!AH127&lt;=QUARTILE(Data!AH$4:AH$153,3),3,4)))</f>
        <v>1</v>
      </c>
    </row>
    <row r="128" spans="1:34" x14ac:dyDescent="0.25">
      <c r="A128" s="7" t="s">
        <v>69</v>
      </c>
      <c r="B128" s="14" t="s">
        <v>72</v>
      </c>
      <c r="C128" s="7">
        <v>42</v>
      </c>
      <c r="D128" s="8">
        <v>40</v>
      </c>
      <c r="E128" s="42" t="s">
        <v>59</v>
      </c>
      <c r="F128" s="9">
        <v>0.27</v>
      </c>
      <c r="G128" s="7">
        <f>IF(Data!G128&lt;=QUARTILE(Data!G$4:G$153,1),1,IF(Data!G128&lt;=MEDIAN(Data!G$4:G$153),2,IF(Data!G128&lt;=QUARTILE(Data!G$4:G$153,3),3,4)))</f>
        <v>3</v>
      </c>
      <c r="H128" s="8">
        <f>IF(Data!H128&lt;=QUARTILE(Data!H$4:H$153,1),1,IF(Data!H128&lt;=MEDIAN(Data!H$4:H$153),2,IF(Data!H128&lt;=QUARTILE(Data!H$4:H$153,3),3,4)))</f>
        <v>3</v>
      </c>
      <c r="I128" s="8">
        <f>IF(Data!I128&lt;=QUARTILE(Data!I$4:I$153,1),1,IF(Data!I128&lt;=MEDIAN(Data!I$4:I$153),2,IF(Data!I128&lt;=QUARTILE(Data!I$4:I$153,3),3,4)))</f>
        <v>1</v>
      </c>
      <c r="J128" s="8">
        <f>IF(Data!J128&lt;=QUARTILE(Data!J$4:J$153,1),1,IF(Data!J128&lt;=MEDIAN(Data!J$4:J$153),2,IF(Data!J128&lt;=QUARTILE(Data!J$4:J$153,3),3,4)))</f>
        <v>1</v>
      </c>
      <c r="K128" s="8">
        <f>IF(Data!K128&lt;=QUARTILE(Data!K$4:K$153,1),1,IF(Data!K128&lt;=MEDIAN(Data!K$4:K$153),2,IF(Data!K128&lt;=QUARTILE(Data!K$4:K$153,3),3,4)))</f>
        <v>3</v>
      </c>
      <c r="L128" s="8">
        <f>IF(Data!L128&lt;=QUARTILE(Data!L$4:L$153,1),1,IF(Data!L128&lt;=MEDIAN(Data!L$4:L$153),2,IF(Data!L128&lt;=QUARTILE(Data!L$4:L$153,3),3,4)))</f>
        <v>3</v>
      </c>
      <c r="M128" s="8">
        <f>IF(Data!M128&lt;=QUARTILE(Data!M$4:M$153,1),1,IF(Data!M128&lt;=MEDIAN(Data!M$4:M$153),2,IF(Data!M128&lt;=QUARTILE(Data!M$4:M$153,3),3,4)))</f>
        <v>4</v>
      </c>
      <c r="N128" s="8">
        <f>IF(Data!N128&lt;=QUARTILE(Data!N$4:N$153,1),1,IF(Data!N128&lt;=MEDIAN(Data!N$4:N$153),2,IF(Data!N128&lt;=QUARTILE(Data!N$4:N$153,3),3,4)))</f>
        <v>1</v>
      </c>
      <c r="O128" s="8">
        <f>IF(Data!O128&lt;=QUARTILE(Data!O$4:O$153,1),1,IF(Data!O128&lt;=MEDIAN(Data!O$4:O$153),2,IF(Data!O128&lt;=QUARTILE(Data!O$4:O$153,3),3,4)))</f>
        <v>4</v>
      </c>
      <c r="P128" s="8">
        <f>IF(Data!P128&lt;=QUARTILE(Data!P$4:P$153,1),1,IF(Data!P128&lt;=MEDIAN(Data!P$4:P$153),2,IF(Data!P128&lt;=QUARTILE(Data!P$4:P$153,3),3,4)))</f>
        <v>4</v>
      </c>
      <c r="Q128" s="8">
        <f>IF(Data!Q128&lt;=QUARTILE(Data!Q$4:Q$153,1),1,IF(Data!Q128&lt;=MEDIAN(Data!Q$4:Q$153),2,IF(Data!Q128&lt;=QUARTILE(Data!Q$4:Q$153,3),3,4)))</f>
        <v>4</v>
      </c>
      <c r="R128" s="8">
        <f>IF(Data!R128&lt;=QUARTILE(Data!R$4:R$153,1),1,IF(Data!R128&lt;=MEDIAN(Data!R$4:R$153),2,IF(Data!R128&lt;=QUARTILE(Data!R$4:R$153,3),3,4)))</f>
        <v>2</v>
      </c>
      <c r="S128" s="8">
        <f>IF(Data!S128&lt;=QUARTILE(Data!S$4:S$153,1),1,IF(Data!S128&lt;=MEDIAN(Data!S$4:S$153),2,IF(Data!S128&lt;=QUARTILE(Data!S$4:S$153,3),3,4)))</f>
        <v>3</v>
      </c>
      <c r="T128" s="9">
        <f>IF(Data!T128&lt;=QUARTILE(Data!T$4:T$153,1),1,IF(Data!T128&lt;=MEDIAN(Data!T$4:T$153),2,IF(Data!T128&lt;=QUARTILE(Data!T$4:T$153,3),3,4)))</f>
        <v>2</v>
      </c>
      <c r="U128" s="7">
        <f>IF(Data!U128&lt;=QUARTILE(Data!U$4:U$153,1),1,IF(Data!U128&lt;=MEDIAN(Data!U$4:U$153),2,IF(Data!U128&lt;=QUARTILE(Data!U$4:U$153,3),3,4)))</f>
        <v>2</v>
      </c>
      <c r="V128" s="8">
        <f>IF(Data!V128&lt;=QUARTILE(Data!V$4:V$153,1),1,IF(Data!V128&lt;=MEDIAN(Data!V$4:V$153),2,IF(Data!V128&lt;=QUARTILE(Data!V$4:V$153,3),3,4)))</f>
        <v>2</v>
      </c>
      <c r="W128" s="8">
        <f>IF(Data!W128&lt;=QUARTILE(Data!W$4:W$153,1),1,IF(Data!W128&lt;=MEDIAN(Data!W$4:W$153),2,IF(Data!W128&lt;=QUARTILE(Data!W$4:W$153,3),3,4)))</f>
        <v>1</v>
      </c>
      <c r="X128" s="8">
        <f>IF(Data!X128&lt;=QUARTILE(Data!X$4:X$153,1),1,IF(Data!X128&lt;=MEDIAN(Data!X$4:X$153),2,IF(Data!X128&lt;=QUARTILE(Data!X$4:X$153,3),3,4)))</f>
        <v>1</v>
      </c>
      <c r="Y128" s="8">
        <f>IF(Data!Y128&lt;=QUARTILE(Data!Y$4:Y$153,1),1,IF(Data!Y128&lt;=MEDIAN(Data!Y$4:Y$153),2,IF(Data!Y128&lt;=QUARTILE(Data!Y$4:Y$153,3),3,4)))</f>
        <v>3</v>
      </c>
      <c r="Z128" s="8">
        <f>IF(Data!Z128&lt;=QUARTILE(Data!Z$4:Z$153,1),1,IF(Data!Z128&lt;=MEDIAN(Data!Z$4:Z$153),2,IF(Data!Z128&lt;=QUARTILE(Data!Z$4:Z$153,3),3,4)))</f>
        <v>3</v>
      </c>
      <c r="AA128" s="8">
        <f>IF(Data!AA128&lt;=QUARTILE(Data!AA$4:AA$153,1),1,IF(Data!AA128&lt;=MEDIAN(Data!AA$4:AA$153),2,IF(Data!AA128&lt;=QUARTILE(Data!AA$4:AA$153,3),3,4)))</f>
        <v>3</v>
      </c>
      <c r="AB128" s="8">
        <f>IF(Data!AB128&lt;=QUARTILE(Data!AB$4:AB$153,1),1,IF(Data!AB128&lt;=MEDIAN(Data!AB$4:AB$153),2,IF(Data!AB128&lt;=QUARTILE(Data!AB$4:AB$153,3),3,4)))</f>
        <v>1</v>
      </c>
      <c r="AC128" s="8">
        <f>IF(Data!AC128&lt;=QUARTILE(Data!AC$4:AC$153,1),1,IF(Data!AC128&lt;=MEDIAN(Data!AC$4:AC$153),2,IF(Data!AC128&lt;=QUARTILE(Data!AC$4:AC$153,3),3,4)))</f>
        <v>2</v>
      </c>
      <c r="AD128" s="8">
        <f>IF(Data!AD128&lt;=QUARTILE(Data!AD$4:AD$153,1),1,IF(Data!AD128&lt;=MEDIAN(Data!AD$4:AD$153),2,IF(Data!AD128&lt;=QUARTILE(Data!AD$4:AD$153,3),3,4)))</f>
        <v>1</v>
      </c>
      <c r="AE128" s="8">
        <f>IF(Data!AE128&lt;=QUARTILE(Data!AE$4:AE$153,1),1,IF(Data!AE128&lt;=MEDIAN(Data!AE$4:AE$153),2,IF(Data!AE128&lt;=QUARTILE(Data!AE$4:AE$153,3),3,4)))</f>
        <v>3</v>
      </c>
      <c r="AF128" s="8">
        <f>IF(Data!AF128&lt;=QUARTILE(Data!AF$4:AF$153,1),1,IF(Data!AF128&lt;=MEDIAN(Data!AF$4:AF$153),2,IF(Data!AF128&lt;=QUARTILE(Data!AF$4:AF$153,3),3,4)))</f>
        <v>3</v>
      </c>
      <c r="AG128" s="8">
        <f>IF(Data!AG128&lt;=QUARTILE(Data!AG$4:AG$153,1),1,IF(Data!AG128&lt;=MEDIAN(Data!AG$4:AG$153),2,IF(Data!AG128&lt;=QUARTILE(Data!AG$4:AG$153,3),3,4)))</f>
        <v>2</v>
      </c>
      <c r="AH128" s="9">
        <f>IF(Data!AH128&lt;=QUARTILE(Data!AH$4:AH$153,1),1,IF(Data!AH128&lt;=MEDIAN(Data!AH$4:AH$153),2,IF(Data!AH128&lt;=QUARTILE(Data!AH$4:AH$153,3),3,4)))</f>
        <v>2</v>
      </c>
    </row>
    <row r="129" spans="1:34" x14ac:dyDescent="0.25">
      <c r="A129" s="7" t="s">
        <v>73</v>
      </c>
      <c r="B129" s="14" t="s">
        <v>72</v>
      </c>
      <c r="C129" s="7">
        <v>58</v>
      </c>
      <c r="D129" s="8">
        <v>24</v>
      </c>
      <c r="E129" s="42" t="s">
        <v>58</v>
      </c>
      <c r="F129" s="9">
        <v>5.85</v>
      </c>
      <c r="G129" s="7">
        <f>IF(Data!G129&lt;=QUARTILE(Data!G$4:G$153,1),1,IF(Data!G129&lt;=MEDIAN(Data!G$4:G$153),2,IF(Data!G129&lt;=QUARTILE(Data!G$4:G$153,3),3,4)))</f>
        <v>4</v>
      </c>
      <c r="H129" s="8">
        <f>IF(Data!H129&lt;=QUARTILE(Data!H$4:H$153,1),1,IF(Data!H129&lt;=MEDIAN(Data!H$4:H$153),2,IF(Data!H129&lt;=QUARTILE(Data!H$4:H$153,3),3,4)))</f>
        <v>3</v>
      </c>
      <c r="I129" s="8">
        <f>IF(Data!I129&lt;=QUARTILE(Data!I$4:I$153,1),1,IF(Data!I129&lt;=MEDIAN(Data!I$4:I$153),2,IF(Data!I129&lt;=QUARTILE(Data!I$4:I$153,3),3,4)))</f>
        <v>2</v>
      </c>
      <c r="J129" s="8">
        <f>IF(Data!J129&lt;=QUARTILE(Data!J$4:J$153,1),1,IF(Data!J129&lt;=MEDIAN(Data!J$4:J$153),2,IF(Data!J129&lt;=QUARTILE(Data!J$4:J$153,3),3,4)))</f>
        <v>2</v>
      </c>
      <c r="K129" s="8">
        <f>IF(Data!K129&lt;=QUARTILE(Data!K$4:K$153,1),1,IF(Data!K129&lt;=MEDIAN(Data!K$4:K$153),2,IF(Data!K129&lt;=QUARTILE(Data!K$4:K$153,3),3,4)))</f>
        <v>4</v>
      </c>
      <c r="L129" s="8">
        <f>IF(Data!L129&lt;=QUARTILE(Data!L$4:L$153,1),1,IF(Data!L129&lt;=MEDIAN(Data!L$4:L$153),2,IF(Data!L129&lt;=QUARTILE(Data!L$4:L$153,3),3,4)))</f>
        <v>4</v>
      </c>
      <c r="M129" s="8">
        <f>IF(Data!M129&lt;=QUARTILE(Data!M$4:M$153,1),1,IF(Data!M129&lt;=MEDIAN(Data!M$4:M$153),2,IF(Data!M129&lt;=QUARTILE(Data!M$4:M$153,3),3,4)))</f>
        <v>3</v>
      </c>
      <c r="N129" s="8">
        <f>IF(Data!N129&lt;=QUARTILE(Data!N$4:N$153,1),1,IF(Data!N129&lt;=MEDIAN(Data!N$4:N$153),2,IF(Data!N129&lt;=QUARTILE(Data!N$4:N$153,3),3,4)))</f>
        <v>3</v>
      </c>
      <c r="O129" s="8">
        <f>IF(Data!O129&lt;=QUARTILE(Data!O$4:O$153,1),1,IF(Data!O129&lt;=MEDIAN(Data!O$4:O$153),2,IF(Data!O129&lt;=QUARTILE(Data!O$4:O$153,3),3,4)))</f>
        <v>1</v>
      </c>
      <c r="P129" s="8">
        <f>IF(Data!P129&lt;=QUARTILE(Data!P$4:P$153,1),1,IF(Data!P129&lt;=MEDIAN(Data!P$4:P$153),2,IF(Data!P129&lt;=QUARTILE(Data!P$4:P$153,3),3,4)))</f>
        <v>4</v>
      </c>
      <c r="Q129" s="8">
        <f>IF(Data!Q129&lt;=QUARTILE(Data!Q$4:Q$153,1),1,IF(Data!Q129&lt;=MEDIAN(Data!Q$4:Q$153),2,IF(Data!Q129&lt;=QUARTILE(Data!Q$4:Q$153,3),3,4)))</f>
        <v>4</v>
      </c>
      <c r="R129" s="8">
        <f>IF(Data!R129&lt;=QUARTILE(Data!R$4:R$153,1),1,IF(Data!R129&lt;=MEDIAN(Data!R$4:R$153),2,IF(Data!R129&lt;=QUARTILE(Data!R$4:R$153,3),3,4)))</f>
        <v>1</v>
      </c>
      <c r="S129" s="8">
        <f>IF(Data!S129&lt;=QUARTILE(Data!S$4:S$153,1),1,IF(Data!S129&lt;=MEDIAN(Data!S$4:S$153),2,IF(Data!S129&lt;=QUARTILE(Data!S$4:S$153,3),3,4)))</f>
        <v>3</v>
      </c>
      <c r="T129" s="9">
        <f>IF(Data!T129&lt;=QUARTILE(Data!T$4:T$153,1),1,IF(Data!T129&lt;=MEDIAN(Data!T$4:T$153),2,IF(Data!T129&lt;=QUARTILE(Data!T$4:T$153,3),3,4)))</f>
        <v>4</v>
      </c>
      <c r="U129" s="7">
        <f>IF(Data!U129&lt;=QUARTILE(Data!U$4:U$153,1),1,IF(Data!U129&lt;=MEDIAN(Data!U$4:U$153),2,IF(Data!U129&lt;=QUARTILE(Data!U$4:U$153,3),3,4)))</f>
        <v>2</v>
      </c>
      <c r="V129" s="8">
        <f>IF(Data!V129&lt;=QUARTILE(Data!V$4:V$153,1),1,IF(Data!V129&lt;=MEDIAN(Data!V$4:V$153),2,IF(Data!V129&lt;=QUARTILE(Data!V$4:V$153,3),3,4)))</f>
        <v>3</v>
      </c>
      <c r="W129" s="8">
        <f>IF(Data!W129&lt;=QUARTILE(Data!W$4:W$153,1),1,IF(Data!W129&lt;=MEDIAN(Data!W$4:W$153),2,IF(Data!W129&lt;=QUARTILE(Data!W$4:W$153,3),3,4)))</f>
        <v>1</v>
      </c>
      <c r="X129" s="8">
        <f>IF(Data!X129&lt;=QUARTILE(Data!X$4:X$153,1),1,IF(Data!X129&lt;=MEDIAN(Data!X$4:X$153),2,IF(Data!X129&lt;=QUARTILE(Data!X$4:X$153,3),3,4)))</f>
        <v>2</v>
      </c>
      <c r="Y129" s="8">
        <f>IF(Data!Y129&lt;=QUARTILE(Data!Y$4:Y$153,1),1,IF(Data!Y129&lt;=MEDIAN(Data!Y$4:Y$153),2,IF(Data!Y129&lt;=QUARTILE(Data!Y$4:Y$153,3),3,4)))</f>
        <v>3</v>
      </c>
      <c r="Z129" s="8">
        <f>IF(Data!Z129&lt;=QUARTILE(Data!Z$4:Z$153,1),1,IF(Data!Z129&lt;=MEDIAN(Data!Z$4:Z$153),2,IF(Data!Z129&lt;=QUARTILE(Data!Z$4:Z$153,3),3,4)))</f>
        <v>3</v>
      </c>
      <c r="AA129" s="8">
        <f>IF(Data!AA129&lt;=QUARTILE(Data!AA$4:AA$153,1),1,IF(Data!AA129&lt;=MEDIAN(Data!AA$4:AA$153),2,IF(Data!AA129&lt;=QUARTILE(Data!AA$4:AA$153,3),3,4)))</f>
        <v>4</v>
      </c>
      <c r="AB129" s="8">
        <f>IF(Data!AB129&lt;=QUARTILE(Data!AB$4:AB$153,1),1,IF(Data!AB129&lt;=MEDIAN(Data!AB$4:AB$153),2,IF(Data!AB129&lt;=QUARTILE(Data!AB$4:AB$153,3),3,4)))</f>
        <v>2</v>
      </c>
      <c r="AC129" s="8">
        <f>IF(Data!AC129&lt;=QUARTILE(Data!AC$4:AC$153,1),1,IF(Data!AC129&lt;=MEDIAN(Data!AC$4:AC$153),2,IF(Data!AC129&lt;=QUARTILE(Data!AC$4:AC$153,3),3,4)))</f>
        <v>2</v>
      </c>
      <c r="AD129" s="8">
        <f>IF(Data!AD129&lt;=QUARTILE(Data!AD$4:AD$153,1),1,IF(Data!AD129&lt;=MEDIAN(Data!AD$4:AD$153),2,IF(Data!AD129&lt;=QUARTILE(Data!AD$4:AD$153,3),3,4)))</f>
        <v>2</v>
      </c>
      <c r="AE129" s="8">
        <f>IF(Data!AE129&lt;=QUARTILE(Data!AE$4:AE$153,1),1,IF(Data!AE129&lt;=MEDIAN(Data!AE$4:AE$153),2,IF(Data!AE129&lt;=QUARTILE(Data!AE$4:AE$153,3),3,4)))</f>
        <v>3</v>
      </c>
      <c r="AF129" s="8">
        <f>IF(Data!AF129&lt;=QUARTILE(Data!AF$4:AF$153,1),1,IF(Data!AF129&lt;=MEDIAN(Data!AF$4:AF$153),2,IF(Data!AF129&lt;=QUARTILE(Data!AF$4:AF$153,3),3,4)))</f>
        <v>4</v>
      </c>
      <c r="AG129" s="8">
        <f>IF(Data!AG129&lt;=QUARTILE(Data!AG$4:AG$153,1),1,IF(Data!AG129&lt;=MEDIAN(Data!AG$4:AG$153),2,IF(Data!AG129&lt;=QUARTILE(Data!AG$4:AG$153,3),3,4)))</f>
        <v>4</v>
      </c>
      <c r="AH129" s="9">
        <f>IF(Data!AH129&lt;=QUARTILE(Data!AH$4:AH$153,1),1,IF(Data!AH129&lt;=MEDIAN(Data!AH$4:AH$153),2,IF(Data!AH129&lt;=QUARTILE(Data!AH$4:AH$153,3),3,4)))</f>
        <v>2</v>
      </c>
    </row>
    <row r="130" spans="1:34" x14ac:dyDescent="0.25">
      <c r="A130" s="7" t="s">
        <v>74</v>
      </c>
      <c r="B130" s="14" t="s">
        <v>72</v>
      </c>
      <c r="C130" s="7">
        <v>49</v>
      </c>
      <c r="D130" s="8">
        <v>33</v>
      </c>
      <c r="E130" s="42" t="s">
        <v>58</v>
      </c>
      <c r="F130" s="9">
        <v>2.2200000000000002</v>
      </c>
      <c r="G130" s="7">
        <f>IF(Data!G130&lt;=QUARTILE(Data!G$4:G$153,1),1,IF(Data!G130&lt;=MEDIAN(Data!G$4:G$153),2,IF(Data!G130&lt;=QUARTILE(Data!G$4:G$153,3),3,4)))</f>
        <v>3</v>
      </c>
      <c r="H130" s="8">
        <f>IF(Data!H130&lt;=QUARTILE(Data!H$4:H$153,1),1,IF(Data!H130&lt;=MEDIAN(Data!H$4:H$153),2,IF(Data!H130&lt;=QUARTILE(Data!H$4:H$153,3),3,4)))</f>
        <v>3</v>
      </c>
      <c r="I130" s="8">
        <f>IF(Data!I130&lt;=QUARTILE(Data!I$4:I$153,1),1,IF(Data!I130&lt;=MEDIAN(Data!I$4:I$153),2,IF(Data!I130&lt;=QUARTILE(Data!I$4:I$153,3),3,4)))</f>
        <v>1</v>
      </c>
      <c r="J130" s="8">
        <f>IF(Data!J130&lt;=QUARTILE(Data!J$4:J$153,1),1,IF(Data!J130&lt;=MEDIAN(Data!J$4:J$153),2,IF(Data!J130&lt;=QUARTILE(Data!J$4:J$153,3),3,4)))</f>
        <v>1</v>
      </c>
      <c r="K130" s="8">
        <f>IF(Data!K130&lt;=QUARTILE(Data!K$4:K$153,1),1,IF(Data!K130&lt;=MEDIAN(Data!K$4:K$153),2,IF(Data!K130&lt;=QUARTILE(Data!K$4:K$153,3),3,4)))</f>
        <v>4</v>
      </c>
      <c r="L130" s="8">
        <f>IF(Data!L130&lt;=QUARTILE(Data!L$4:L$153,1),1,IF(Data!L130&lt;=MEDIAN(Data!L$4:L$153),2,IF(Data!L130&lt;=QUARTILE(Data!L$4:L$153,3),3,4)))</f>
        <v>4</v>
      </c>
      <c r="M130" s="8">
        <f>IF(Data!M130&lt;=QUARTILE(Data!M$4:M$153,1),1,IF(Data!M130&lt;=MEDIAN(Data!M$4:M$153),2,IF(Data!M130&lt;=QUARTILE(Data!M$4:M$153,3),3,4)))</f>
        <v>3</v>
      </c>
      <c r="N130" s="8">
        <f>IF(Data!N130&lt;=QUARTILE(Data!N$4:N$153,1),1,IF(Data!N130&lt;=MEDIAN(Data!N$4:N$153),2,IF(Data!N130&lt;=QUARTILE(Data!N$4:N$153,3),3,4)))</f>
        <v>3</v>
      </c>
      <c r="O130" s="8">
        <f>IF(Data!O130&lt;=QUARTILE(Data!O$4:O$153,1),1,IF(Data!O130&lt;=MEDIAN(Data!O$4:O$153),2,IF(Data!O130&lt;=QUARTILE(Data!O$4:O$153,3),3,4)))</f>
        <v>4</v>
      </c>
      <c r="P130" s="8">
        <f>IF(Data!P130&lt;=QUARTILE(Data!P$4:P$153,1),1,IF(Data!P130&lt;=MEDIAN(Data!P$4:P$153),2,IF(Data!P130&lt;=QUARTILE(Data!P$4:P$153,3),3,4)))</f>
        <v>4</v>
      </c>
      <c r="Q130" s="8">
        <f>IF(Data!Q130&lt;=QUARTILE(Data!Q$4:Q$153,1),1,IF(Data!Q130&lt;=MEDIAN(Data!Q$4:Q$153),2,IF(Data!Q130&lt;=QUARTILE(Data!Q$4:Q$153,3),3,4)))</f>
        <v>4</v>
      </c>
      <c r="R130" s="8">
        <f>IF(Data!R130&lt;=QUARTILE(Data!R$4:R$153,1),1,IF(Data!R130&lt;=MEDIAN(Data!R$4:R$153),2,IF(Data!R130&lt;=QUARTILE(Data!R$4:R$153,3),3,4)))</f>
        <v>3</v>
      </c>
      <c r="S130" s="8">
        <f>IF(Data!S130&lt;=QUARTILE(Data!S$4:S$153,1),1,IF(Data!S130&lt;=MEDIAN(Data!S$4:S$153),2,IF(Data!S130&lt;=QUARTILE(Data!S$4:S$153,3),3,4)))</f>
        <v>3</v>
      </c>
      <c r="T130" s="9">
        <f>IF(Data!T130&lt;=QUARTILE(Data!T$4:T$153,1),1,IF(Data!T130&lt;=MEDIAN(Data!T$4:T$153),2,IF(Data!T130&lt;=QUARTILE(Data!T$4:T$153,3),3,4)))</f>
        <v>3</v>
      </c>
      <c r="U130" s="7">
        <f>IF(Data!U130&lt;=QUARTILE(Data!U$4:U$153,1),1,IF(Data!U130&lt;=MEDIAN(Data!U$4:U$153),2,IF(Data!U130&lt;=QUARTILE(Data!U$4:U$153,3),3,4)))</f>
        <v>2</v>
      </c>
      <c r="V130" s="8">
        <f>IF(Data!V130&lt;=QUARTILE(Data!V$4:V$153,1),1,IF(Data!V130&lt;=MEDIAN(Data!V$4:V$153),2,IF(Data!V130&lt;=QUARTILE(Data!V$4:V$153,3),3,4)))</f>
        <v>3</v>
      </c>
      <c r="W130" s="8">
        <f>IF(Data!W130&lt;=QUARTILE(Data!W$4:W$153,1),1,IF(Data!W130&lt;=MEDIAN(Data!W$4:W$153),2,IF(Data!W130&lt;=QUARTILE(Data!W$4:W$153,3),3,4)))</f>
        <v>2</v>
      </c>
      <c r="X130" s="8">
        <f>IF(Data!X130&lt;=QUARTILE(Data!X$4:X$153,1),1,IF(Data!X130&lt;=MEDIAN(Data!X$4:X$153),2,IF(Data!X130&lt;=QUARTILE(Data!X$4:X$153,3),3,4)))</f>
        <v>2</v>
      </c>
      <c r="Y130" s="8">
        <f>IF(Data!Y130&lt;=QUARTILE(Data!Y$4:Y$153,1),1,IF(Data!Y130&lt;=MEDIAN(Data!Y$4:Y$153),2,IF(Data!Y130&lt;=QUARTILE(Data!Y$4:Y$153,3),3,4)))</f>
        <v>3</v>
      </c>
      <c r="Z130" s="8">
        <f>IF(Data!Z130&lt;=QUARTILE(Data!Z$4:Z$153,1),1,IF(Data!Z130&lt;=MEDIAN(Data!Z$4:Z$153),2,IF(Data!Z130&lt;=QUARTILE(Data!Z$4:Z$153,3),3,4)))</f>
        <v>3</v>
      </c>
      <c r="AA130" s="8">
        <f>IF(Data!AA130&lt;=QUARTILE(Data!AA$4:AA$153,1),1,IF(Data!AA130&lt;=MEDIAN(Data!AA$4:AA$153),2,IF(Data!AA130&lt;=QUARTILE(Data!AA$4:AA$153,3),3,4)))</f>
        <v>4</v>
      </c>
      <c r="AB130" s="8">
        <f>IF(Data!AB130&lt;=QUARTILE(Data!AB$4:AB$153,1),1,IF(Data!AB130&lt;=MEDIAN(Data!AB$4:AB$153),2,IF(Data!AB130&lt;=QUARTILE(Data!AB$4:AB$153,3),3,4)))</f>
        <v>2</v>
      </c>
      <c r="AC130" s="8">
        <f>IF(Data!AC130&lt;=QUARTILE(Data!AC$4:AC$153,1),1,IF(Data!AC130&lt;=MEDIAN(Data!AC$4:AC$153),2,IF(Data!AC130&lt;=QUARTILE(Data!AC$4:AC$153,3),3,4)))</f>
        <v>3</v>
      </c>
      <c r="AD130" s="8">
        <f>IF(Data!AD130&lt;=QUARTILE(Data!AD$4:AD$153,1),1,IF(Data!AD130&lt;=MEDIAN(Data!AD$4:AD$153),2,IF(Data!AD130&lt;=QUARTILE(Data!AD$4:AD$153,3),3,4)))</f>
        <v>4</v>
      </c>
      <c r="AE130" s="8">
        <f>IF(Data!AE130&lt;=QUARTILE(Data!AE$4:AE$153,1),1,IF(Data!AE130&lt;=MEDIAN(Data!AE$4:AE$153),2,IF(Data!AE130&lt;=QUARTILE(Data!AE$4:AE$153,3),3,4)))</f>
        <v>4</v>
      </c>
      <c r="AF130" s="8">
        <f>IF(Data!AF130&lt;=QUARTILE(Data!AF$4:AF$153,1),1,IF(Data!AF130&lt;=MEDIAN(Data!AF$4:AF$153),2,IF(Data!AF130&lt;=QUARTILE(Data!AF$4:AF$153,3),3,4)))</f>
        <v>4</v>
      </c>
      <c r="AG130" s="8">
        <f>IF(Data!AG130&lt;=QUARTILE(Data!AG$4:AG$153,1),1,IF(Data!AG130&lt;=MEDIAN(Data!AG$4:AG$153),2,IF(Data!AG130&lt;=QUARTILE(Data!AG$4:AG$153,3),3,4)))</f>
        <v>4</v>
      </c>
      <c r="AH130" s="9">
        <f>IF(Data!AH130&lt;=QUARTILE(Data!AH$4:AH$153,1),1,IF(Data!AH130&lt;=MEDIAN(Data!AH$4:AH$153),2,IF(Data!AH130&lt;=QUARTILE(Data!AH$4:AH$153,3),3,4)))</f>
        <v>2</v>
      </c>
    </row>
    <row r="131" spans="1:34" x14ac:dyDescent="0.25">
      <c r="A131" s="7" t="s">
        <v>75</v>
      </c>
      <c r="B131" s="14" t="s">
        <v>72</v>
      </c>
      <c r="C131" s="7">
        <v>54</v>
      </c>
      <c r="D131" s="8">
        <v>28</v>
      </c>
      <c r="E131" s="42" t="s">
        <v>58</v>
      </c>
      <c r="F131" s="9">
        <v>3.31</v>
      </c>
      <c r="G131" s="7">
        <f>IF(Data!G131&lt;=QUARTILE(Data!G$4:G$153,1),1,IF(Data!G131&lt;=MEDIAN(Data!G$4:G$153),2,IF(Data!G131&lt;=QUARTILE(Data!G$4:G$153,3),3,4)))</f>
        <v>1</v>
      </c>
      <c r="H131" s="8">
        <f>IF(Data!H131&lt;=QUARTILE(Data!H$4:H$153,1),1,IF(Data!H131&lt;=MEDIAN(Data!H$4:H$153),2,IF(Data!H131&lt;=QUARTILE(Data!H$4:H$153,3),3,4)))</f>
        <v>1</v>
      </c>
      <c r="I131" s="8">
        <f>IF(Data!I131&lt;=QUARTILE(Data!I$4:I$153,1),1,IF(Data!I131&lt;=MEDIAN(Data!I$4:I$153),2,IF(Data!I131&lt;=QUARTILE(Data!I$4:I$153,3),3,4)))</f>
        <v>1</v>
      </c>
      <c r="J131" s="8">
        <f>IF(Data!J131&lt;=QUARTILE(Data!J$4:J$153,1),1,IF(Data!J131&lt;=MEDIAN(Data!J$4:J$153),2,IF(Data!J131&lt;=QUARTILE(Data!J$4:J$153,3),3,4)))</f>
        <v>1</v>
      </c>
      <c r="K131" s="8">
        <f>IF(Data!K131&lt;=QUARTILE(Data!K$4:K$153,1),1,IF(Data!K131&lt;=MEDIAN(Data!K$4:K$153),2,IF(Data!K131&lt;=QUARTILE(Data!K$4:K$153,3),3,4)))</f>
        <v>3</v>
      </c>
      <c r="L131" s="8">
        <f>IF(Data!L131&lt;=QUARTILE(Data!L$4:L$153,1),1,IF(Data!L131&lt;=MEDIAN(Data!L$4:L$153),2,IF(Data!L131&lt;=QUARTILE(Data!L$4:L$153,3),3,4)))</f>
        <v>3</v>
      </c>
      <c r="M131" s="8">
        <f>IF(Data!M131&lt;=QUARTILE(Data!M$4:M$153,1),1,IF(Data!M131&lt;=MEDIAN(Data!M$4:M$153),2,IF(Data!M131&lt;=QUARTILE(Data!M$4:M$153,3),3,4)))</f>
        <v>4</v>
      </c>
      <c r="N131" s="8">
        <f>IF(Data!N131&lt;=QUARTILE(Data!N$4:N$153,1),1,IF(Data!N131&lt;=MEDIAN(Data!N$4:N$153),2,IF(Data!N131&lt;=QUARTILE(Data!N$4:N$153,3),3,4)))</f>
        <v>3</v>
      </c>
      <c r="O131" s="8">
        <f>IF(Data!O131&lt;=QUARTILE(Data!O$4:O$153,1),1,IF(Data!O131&lt;=MEDIAN(Data!O$4:O$153),2,IF(Data!O131&lt;=QUARTILE(Data!O$4:O$153,3),3,4)))</f>
        <v>3</v>
      </c>
      <c r="P131" s="8">
        <f>IF(Data!P131&lt;=QUARTILE(Data!P$4:P$153,1),1,IF(Data!P131&lt;=MEDIAN(Data!P$4:P$153),2,IF(Data!P131&lt;=QUARTILE(Data!P$4:P$153,3),3,4)))</f>
        <v>2</v>
      </c>
      <c r="Q131" s="8">
        <f>IF(Data!Q131&lt;=QUARTILE(Data!Q$4:Q$153,1),1,IF(Data!Q131&lt;=MEDIAN(Data!Q$4:Q$153),2,IF(Data!Q131&lt;=QUARTILE(Data!Q$4:Q$153,3),3,4)))</f>
        <v>4</v>
      </c>
      <c r="R131" s="8">
        <f>IF(Data!R131&lt;=QUARTILE(Data!R$4:R$153,1),1,IF(Data!R131&lt;=MEDIAN(Data!R$4:R$153),2,IF(Data!R131&lt;=QUARTILE(Data!R$4:R$153,3),3,4)))</f>
        <v>2</v>
      </c>
      <c r="S131" s="8">
        <f>IF(Data!S131&lt;=QUARTILE(Data!S$4:S$153,1),1,IF(Data!S131&lt;=MEDIAN(Data!S$4:S$153),2,IF(Data!S131&lt;=QUARTILE(Data!S$4:S$153,3),3,4)))</f>
        <v>1</v>
      </c>
      <c r="T131" s="9">
        <f>IF(Data!T131&lt;=QUARTILE(Data!T$4:T$153,1),1,IF(Data!T131&lt;=MEDIAN(Data!T$4:T$153),2,IF(Data!T131&lt;=QUARTILE(Data!T$4:T$153,3),3,4)))</f>
        <v>1</v>
      </c>
      <c r="U131" s="7">
        <f>IF(Data!U131&lt;=QUARTILE(Data!U$4:U$153,1),1,IF(Data!U131&lt;=MEDIAN(Data!U$4:U$153),2,IF(Data!U131&lt;=QUARTILE(Data!U$4:U$153,3),3,4)))</f>
        <v>1</v>
      </c>
      <c r="V131" s="8">
        <f>IF(Data!V131&lt;=QUARTILE(Data!V$4:V$153,1),1,IF(Data!V131&lt;=MEDIAN(Data!V$4:V$153),2,IF(Data!V131&lt;=QUARTILE(Data!V$4:V$153,3),3,4)))</f>
        <v>2</v>
      </c>
      <c r="W131" s="8">
        <f>IF(Data!W131&lt;=QUARTILE(Data!W$4:W$153,1),1,IF(Data!W131&lt;=MEDIAN(Data!W$4:W$153),2,IF(Data!W131&lt;=QUARTILE(Data!W$4:W$153,3),3,4)))</f>
        <v>1</v>
      </c>
      <c r="X131" s="8">
        <f>IF(Data!X131&lt;=QUARTILE(Data!X$4:X$153,1),1,IF(Data!X131&lt;=MEDIAN(Data!X$4:X$153),2,IF(Data!X131&lt;=QUARTILE(Data!X$4:X$153,3),3,4)))</f>
        <v>1</v>
      </c>
      <c r="Y131" s="8">
        <f>IF(Data!Y131&lt;=QUARTILE(Data!Y$4:Y$153,1),1,IF(Data!Y131&lt;=MEDIAN(Data!Y$4:Y$153),2,IF(Data!Y131&lt;=QUARTILE(Data!Y$4:Y$153,3),3,4)))</f>
        <v>1</v>
      </c>
      <c r="Z131" s="8">
        <f>IF(Data!Z131&lt;=QUARTILE(Data!Z$4:Z$153,1),1,IF(Data!Z131&lt;=MEDIAN(Data!Z$4:Z$153),2,IF(Data!Z131&lt;=QUARTILE(Data!Z$4:Z$153,3),3,4)))</f>
        <v>1</v>
      </c>
      <c r="AA131" s="8">
        <f>IF(Data!AA131&lt;=QUARTILE(Data!AA$4:AA$153,1),1,IF(Data!AA131&lt;=MEDIAN(Data!AA$4:AA$153),2,IF(Data!AA131&lt;=QUARTILE(Data!AA$4:AA$153,3),3,4)))</f>
        <v>3</v>
      </c>
      <c r="AB131" s="8">
        <f>IF(Data!AB131&lt;=QUARTILE(Data!AB$4:AB$153,1),1,IF(Data!AB131&lt;=MEDIAN(Data!AB$4:AB$153),2,IF(Data!AB131&lt;=QUARTILE(Data!AB$4:AB$153,3),3,4)))</f>
        <v>1</v>
      </c>
      <c r="AC131" s="8">
        <f>IF(Data!AC131&lt;=QUARTILE(Data!AC$4:AC$153,1),1,IF(Data!AC131&lt;=MEDIAN(Data!AC$4:AC$153),2,IF(Data!AC131&lt;=QUARTILE(Data!AC$4:AC$153,3),3,4)))</f>
        <v>1</v>
      </c>
      <c r="AD131" s="8">
        <f>IF(Data!AD131&lt;=QUARTILE(Data!AD$4:AD$153,1),1,IF(Data!AD131&lt;=MEDIAN(Data!AD$4:AD$153),2,IF(Data!AD131&lt;=QUARTILE(Data!AD$4:AD$153,3),3,4)))</f>
        <v>3</v>
      </c>
      <c r="AE131" s="8">
        <f>IF(Data!AE131&lt;=QUARTILE(Data!AE$4:AE$153,1),1,IF(Data!AE131&lt;=MEDIAN(Data!AE$4:AE$153),2,IF(Data!AE131&lt;=QUARTILE(Data!AE$4:AE$153,3),3,4)))</f>
        <v>2</v>
      </c>
      <c r="AF131" s="8">
        <f>IF(Data!AF131&lt;=QUARTILE(Data!AF$4:AF$153,1),1,IF(Data!AF131&lt;=MEDIAN(Data!AF$4:AF$153),2,IF(Data!AF131&lt;=QUARTILE(Data!AF$4:AF$153,3),3,4)))</f>
        <v>2</v>
      </c>
      <c r="AG131" s="8">
        <f>IF(Data!AG131&lt;=QUARTILE(Data!AG$4:AG$153,1),1,IF(Data!AG131&lt;=MEDIAN(Data!AG$4:AG$153),2,IF(Data!AG131&lt;=QUARTILE(Data!AG$4:AG$153,3),3,4)))</f>
        <v>3</v>
      </c>
      <c r="AH131" s="9">
        <f>IF(Data!AH131&lt;=QUARTILE(Data!AH$4:AH$153,1),1,IF(Data!AH131&lt;=MEDIAN(Data!AH$4:AH$153),2,IF(Data!AH131&lt;=QUARTILE(Data!AH$4:AH$153,3),3,4)))</f>
        <v>1</v>
      </c>
    </row>
    <row r="132" spans="1:34" x14ac:dyDescent="0.25">
      <c r="A132" s="7" t="s">
        <v>17</v>
      </c>
      <c r="B132" s="14" t="s">
        <v>72</v>
      </c>
      <c r="C132" s="7">
        <v>34</v>
      </c>
      <c r="D132" s="8">
        <v>48</v>
      </c>
      <c r="E132" s="42" t="s">
        <v>59</v>
      </c>
      <c r="F132" s="9">
        <v>-1.74</v>
      </c>
      <c r="G132" s="7">
        <f>IF(Data!G132&lt;=QUARTILE(Data!G$4:G$153,1),1,IF(Data!G132&lt;=MEDIAN(Data!G$4:G$153),2,IF(Data!G132&lt;=QUARTILE(Data!G$4:G$153,3),3,4)))</f>
        <v>3</v>
      </c>
      <c r="H132" s="8">
        <f>IF(Data!H132&lt;=QUARTILE(Data!H$4:H$153,1),1,IF(Data!H132&lt;=MEDIAN(Data!H$4:H$153),2,IF(Data!H132&lt;=QUARTILE(Data!H$4:H$153,3),3,4)))</f>
        <v>4</v>
      </c>
      <c r="I132" s="8">
        <f>IF(Data!I132&lt;=QUARTILE(Data!I$4:I$153,1),1,IF(Data!I132&lt;=MEDIAN(Data!I$4:I$153),2,IF(Data!I132&lt;=QUARTILE(Data!I$4:I$153,3),3,4)))</f>
        <v>4</v>
      </c>
      <c r="J132" s="8">
        <f>IF(Data!J132&lt;=QUARTILE(Data!J$4:J$153,1),1,IF(Data!J132&lt;=MEDIAN(Data!J$4:J$153),2,IF(Data!J132&lt;=QUARTILE(Data!J$4:J$153,3),3,4)))</f>
        <v>4</v>
      </c>
      <c r="K132" s="8">
        <f>IF(Data!K132&lt;=QUARTILE(Data!K$4:K$153,1),1,IF(Data!K132&lt;=MEDIAN(Data!K$4:K$153),2,IF(Data!K132&lt;=QUARTILE(Data!K$4:K$153,3),3,4)))</f>
        <v>1</v>
      </c>
      <c r="L132" s="8">
        <f>IF(Data!L132&lt;=QUARTILE(Data!L$4:L$153,1),1,IF(Data!L132&lt;=MEDIAN(Data!L$4:L$153),2,IF(Data!L132&lt;=QUARTILE(Data!L$4:L$153,3),3,4)))</f>
        <v>1</v>
      </c>
      <c r="M132" s="8">
        <f>IF(Data!M132&lt;=QUARTILE(Data!M$4:M$153,1),1,IF(Data!M132&lt;=MEDIAN(Data!M$4:M$153),2,IF(Data!M132&lt;=QUARTILE(Data!M$4:M$153,3),3,4)))</f>
        <v>4</v>
      </c>
      <c r="N132" s="8">
        <f>IF(Data!N132&lt;=QUARTILE(Data!N$4:N$153,1),1,IF(Data!N132&lt;=MEDIAN(Data!N$4:N$153),2,IF(Data!N132&lt;=QUARTILE(Data!N$4:N$153,3),3,4)))</f>
        <v>2</v>
      </c>
      <c r="O132" s="8">
        <f>IF(Data!O132&lt;=QUARTILE(Data!O$4:O$153,1),1,IF(Data!O132&lt;=MEDIAN(Data!O$4:O$153),2,IF(Data!O132&lt;=QUARTILE(Data!O$4:O$153,3),3,4)))</f>
        <v>3</v>
      </c>
      <c r="P132" s="8">
        <f>IF(Data!P132&lt;=QUARTILE(Data!P$4:P$153,1),1,IF(Data!P132&lt;=MEDIAN(Data!P$4:P$153),2,IF(Data!P132&lt;=QUARTILE(Data!P$4:P$153,3),3,4)))</f>
        <v>4</v>
      </c>
      <c r="Q132" s="8">
        <f>IF(Data!Q132&lt;=QUARTILE(Data!Q$4:Q$153,1),1,IF(Data!Q132&lt;=MEDIAN(Data!Q$4:Q$153),2,IF(Data!Q132&lt;=QUARTILE(Data!Q$4:Q$153,3),3,4)))</f>
        <v>3</v>
      </c>
      <c r="R132" s="8">
        <f>IF(Data!R132&lt;=QUARTILE(Data!R$4:R$153,1),1,IF(Data!R132&lt;=MEDIAN(Data!R$4:R$153),2,IF(Data!R132&lt;=QUARTILE(Data!R$4:R$153,3),3,4)))</f>
        <v>1</v>
      </c>
      <c r="S132" s="8">
        <f>IF(Data!S132&lt;=QUARTILE(Data!S$4:S$153,1),1,IF(Data!S132&lt;=MEDIAN(Data!S$4:S$153),2,IF(Data!S132&lt;=QUARTILE(Data!S$4:S$153,3),3,4)))</f>
        <v>3</v>
      </c>
      <c r="T132" s="9">
        <f>IF(Data!T132&lt;=QUARTILE(Data!T$4:T$153,1),1,IF(Data!T132&lt;=MEDIAN(Data!T$4:T$153),2,IF(Data!T132&lt;=QUARTILE(Data!T$4:T$153,3),3,4)))</f>
        <v>3</v>
      </c>
      <c r="U132" s="7">
        <f>IF(Data!U132&lt;=QUARTILE(Data!U$4:U$153,1),1,IF(Data!U132&lt;=MEDIAN(Data!U$4:U$153),2,IF(Data!U132&lt;=QUARTILE(Data!U$4:U$153,3),3,4)))</f>
        <v>4</v>
      </c>
      <c r="V132" s="8">
        <f>IF(Data!V132&lt;=QUARTILE(Data!V$4:V$153,1),1,IF(Data!V132&lt;=MEDIAN(Data!V$4:V$153),2,IF(Data!V132&lt;=QUARTILE(Data!V$4:V$153,3),3,4)))</f>
        <v>4</v>
      </c>
      <c r="W132" s="8">
        <f>IF(Data!W132&lt;=QUARTILE(Data!W$4:W$153,1),1,IF(Data!W132&lt;=MEDIAN(Data!W$4:W$153),2,IF(Data!W132&lt;=QUARTILE(Data!W$4:W$153,3),3,4)))</f>
        <v>1</v>
      </c>
      <c r="X132" s="8">
        <f>IF(Data!X132&lt;=QUARTILE(Data!X$4:X$153,1),1,IF(Data!X132&lt;=MEDIAN(Data!X$4:X$153),2,IF(Data!X132&lt;=QUARTILE(Data!X$4:X$153,3),3,4)))</f>
        <v>1</v>
      </c>
      <c r="Y132" s="8">
        <f>IF(Data!Y132&lt;=QUARTILE(Data!Y$4:Y$153,1),1,IF(Data!Y132&lt;=MEDIAN(Data!Y$4:Y$153),2,IF(Data!Y132&lt;=QUARTILE(Data!Y$4:Y$153,3),3,4)))</f>
        <v>2</v>
      </c>
      <c r="Z132" s="8">
        <f>IF(Data!Z132&lt;=QUARTILE(Data!Z$4:Z$153,1),1,IF(Data!Z132&lt;=MEDIAN(Data!Z$4:Z$153),2,IF(Data!Z132&lt;=QUARTILE(Data!Z$4:Z$153,3),3,4)))</f>
        <v>2</v>
      </c>
      <c r="AA132" s="8">
        <f>IF(Data!AA132&lt;=QUARTILE(Data!AA$4:AA$153,1),1,IF(Data!AA132&lt;=MEDIAN(Data!AA$4:AA$153),2,IF(Data!AA132&lt;=QUARTILE(Data!AA$4:AA$153,3),3,4)))</f>
        <v>4</v>
      </c>
      <c r="AB132" s="8">
        <f>IF(Data!AB132&lt;=QUARTILE(Data!AB$4:AB$153,1),1,IF(Data!AB132&lt;=MEDIAN(Data!AB$4:AB$153),2,IF(Data!AB132&lt;=QUARTILE(Data!AB$4:AB$153,3),3,4)))</f>
        <v>4</v>
      </c>
      <c r="AC132" s="8">
        <f>IF(Data!AC132&lt;=QUARTILE(Data!AC$4:AC$153,1),1,IF(Data!AC132&lt;=MEDIAN(Data!AC$4:AC$153),2,IF(Data!AC132&lt;=QUARTILE(Data!AC$4:AC$153,3),3,4)))</f>
        <v>4</v>
      </c>
      <c r="AD132" s="8">
        <f>IF(Data!AD132&lt;=QUARTILE(Data!AD$4:AD$153,1),1,IF(Data!AD132&lt;=MEDIAN(Data!AD$4:AD$153),2,IF(Data!AD132&lt;=QUARTILE(Data!AD$4:AD$153,3),3,4)))</f>
        <v>2</v>
      </c>
      <c r="AE132" s="8">
        <f>IF(Data!AE132&lt;=QUARTILE(Data!AE$4:AE$153,1),1,IF(Data!AE132&lt;=MEDIAN(Data!AE$4:AE$153),2,IF(Data!AE132&lt;=QUARTILE(Data!AE$4:AE$153,3),3,4)))</f>
        <v>3</v>
      </c>
      <c r="AF132" s="8">
        <f>IF(Data!AF132&lt;=QUARTILE(Data!AF$4:AF$153,1),1,IF(Data!AF132&lt;=MEDIAN(Data!AF$4:AF$153),2,IF(Data!AF132&lt;=QUARTILE(Data!AF$4:AF$153,3),3,4)))</f>
        <v>4</v>
      </c>
      <c r="AG132" s="8">
        <f>IF(Data!AG132&lt;=QUARTILE(Data!AG$4:AG$153,1),1,IF(Data!AG132&lt;=MEDIAN(Data!AG$4:AG$153),2,IF(Data!AG132&lt;=QUARTILE(Data!AG$4:AG$153,3),3,4)))</f>
        <v>2</v>
      </c>
      <c r="AH132" s="9">
        <f>IF(Data!AH132&lt;=QUARTILE(Data!AH$4:AH$153,1),1,IF(Data!AH132&lt;=MEDIAN(Data!AH$4:AH$153),2,IF(Data!AH132&lt;=QUARTILE(Data!AH$4:AH$153,3),3,4)))</f>
        <v>3</v>
      </c>
    </row>
    <row r="133" spans="1:34" x14ac:dyDescent="0.25">
      <c r="A133" s="7" t="s">
        <v>65</v>
      </c>
      <c r="B133" s="14" t="s">
        <v>72</v>
      </c>
      <c r="C133" s="7">
        <v>51</v>
      </c>
      <c r="D133" s="8">
        <v>31</v>
      </c>
      <c r="E133" s="42" t="s">
        <v>58</v>
      </c>
      <c r="F133" s="9">
        <v>4.26</v>
      </c>
      <c r="G133" s="7">
        <f>IF(Data!G133&lt;=QUARTILE(Data!G$4:G$153,1),1,IF(Data!G133&lt;=MEDIAN(Data!G$4:G$153),2,IF(Data!G133&lt;=QUARTILE(Data!G$4:G$153,3),3,4)))</f>
        <v>1</v>
      </c>
      <c r="H133" s="8">
        <f>IF(Data!H133&lt;=QUARTILE(Data!H$4:H$153,1),1,IF(Data!H133&lt;=MEDIAN(Data!H$4:H$153),2,IF(Data!H133&lt;=QUARTILE(Data!H$4:H$153,3),3,4)))</f>
        <v>1</v>
      </c>
      <c r="I133" s="8">
        <f>IF(Data!I133&lt;=QUARTILE(Data!I$4:I$153,1),1,IF(Data!I133&lt;=MEDIAN(Data!I$4:I$153),2,IF(Data!I133&lt;=QUARTILE(Data!I$4:I$153,3),3,4)))</f>
        <v>3</v>
      </c>
      <c r="J133" s="8">
        <f>IF(Data!J133&lt;=QUARTILE(Data!J$4:J$153,1),1,IF(Data!J133&lt;=MEDIAN(Data!J$4:J$153),2,IF(Data!J133&lt;=QUARTILE(Data!J$4:J$153,3),3,4)))</f>
        <v>3</v>
      </c>
      <c r="K133" s="8">
        <f>IF(Data!K133&lt;=QUARTILE(Data!K$4:K$153,1),1,IF(Data!K133&lt;=MEDIAN(Data!K$4:K$153),2,IF(Data!K133&lt;=QUARTILE(Data!K$4:K$153,3),3,4)))</f>
        <v>2</v>
      </c>
      <c r="L133" s="8">
        <f>IF(Data!L133&lt;=QUARTILE(Data!L$4:L$153,1),1,IF(Data!L133&lt;=MEDIAN(Data!L$4:L$153),2,IF(Data!L133&lt;=QUARTILE(Data!L$4:L$153,3),3,4)))</f>
        <v>2</v>
      </c>
      <c r="M133" s="8">
        <f>IF(Data!M133&lt;=QUARTILE(Data!M$4:M$153,1),1,IF(Data!M133&lt;=MEDIAN(Data!M$4:M$153),2,IF(Data!M133&lt;=QUARTILE(Data!M$4:M$153,3),3,4)))</f>
        <v>2</v>
      </c>
      <c r="N133" s="8">
        <f>IF(Data!N133&lt;=QUARTILE(Data!N$4:N$153,1),1,IF(Data!N133&lt;=MEDIAN(Data!N$4:N$153),2,IF(Data!N133&lt;=QUARTILE(Data!N$4:N$153,3),3,4)))</f>
        <v>4</v>
      </c>
      <c r="O133" s="8">
        <f>IF(Data!O133&lt;=QUARTILE(Data!O$4:O$153,1),1,IF(Data!O133&lt;=MEDIAN(Data!O$4:O$153),2,IF(Data!O133&lt;=QUARTILE(Data!O$4:O$153,3),3,4)))</f>
        <v>3</v>
      </c>
      <c r="P133" s="8">
        <f>IF(Data!P133&lt;=QUARTILE(Data!P$4:P$153,1),1,IF(Data!P133&lt;=MEDIAN(Data!P$4:P$153),2,IF(Data!P133&lt;=QUARTILE(Data!P$4:P$153,3),3,4)))</f>
        <v>2</v>
      </c>
      <c r="Q133" s="8">
        <f>IF(Data!Q133&lt;=QUARTILE(Data!Q$4:Q$153,1),1,IF(Data!Q133&lt;=MEDIAN(Data!Q$4:Q$153),2,IF(Data!Q133&lt;=QUARTILE(Data!Q$4:Q$153,3),3,4)))</f>
        <v>2</v>
      </c>
      <c r="R133" s="8">
        <f>IF(Data!R133&lt;=QUARTILE(Data!R$4:R$153,1),1,IF(Data!R133&lt;=MEDIAN(Data!R$4:R$153),2,IF(Data!R133&lt;=QUARTILE(Data!R$4:R$153,3),3,4)))</f>
        <v>2</v>
      </c>
      <c r="S133" s="8">
        <f>IF(Data!S133&lt;=QUARTILE(Data!S$4:S$153,1),1,IF(Data!S133&lt;=MEDIAN(Data!S$4:S$153),2,IF(Data!S133&lt;=QUARTILE(Data!S$4:S$153,3),3,4)))</f>
        <v>2</v>
      </c>
      <c r="T133" s="9">
        <f>IF(Data!T133&lt;=QUARTILE(Data!T$4:T$153,1),1,IF(Data!T133&lt;=MEDIAN(Data!T$4:T$153),2,IF(Data!T133&lt;=QUARTILE(Data!T$4:T$153,3),3,4)))</f>
        <v>1</v>
      </c>
      <c r="U133" s="7">
        <f>IF(Data!U133&lt;=QUARTILE(Data!U$4:U$153,1),1,IF(Data!U133&lt;=MEDIAN(Data!U$4:U$153),2,IF(Data!U133&lt;=QUARTILE(Data!U$4:U$153,3),3,4)))</f>
        <v>1</v>
      </c>
      <c r="V133" s="8">
        <f>IF(Data!V133&lt;=QUARTILE(Data!V$4:V$153,1),1,IF(Data!V133&lt;=MEDIAN(Data!V$4:V$153),2,IF(Data!V133&lt;=QUARTILE(Data!V$4:V$153,3),3,4)))</f>
        <v>2</v>
      </c>
      <c r="W133" s="8">
        <f>IF(Data!W133&lt;=QUARTILE(Data!W$4:W$153,1),1,IF(Data!W133&lt;=MEDIAN(Data!W$4:W$153),2,IF(Data!W133&lt;=QUARTILE(Data!W$4:W$153,3),3,4)))</f>
        <v>1</v>
      </c>
      <c r="X133" s="8">
        <f>IF(Data!X133&lt;=QUARTILE(Data!X$4:X$153,1),1,IF(Data!X133&lt;=MEDIAN(Data!X$4:X$153),2,IF(Data!X133&lt;=QUARTILE(Data!X$4:X$153,3),3,4)))</f>
        <v>2</v>
      </c>
      <c r="Y133" s="8">
        <f>IF(Data!Y133&lt;=QUARTILE(Data!Y$4:Y$153,1),1,IF(Data!Y133&lt;=MEDIAN(Data!Y$4:Y$153),2,IF(Data!Y133&lt;=QUARTILE(Data!Y$4:Y$153,3),3,4)))</f>
        <v>2</v>
      </c>
      <c r="Z133" s="8">
        <f>IF(Data!Z133&lt;=QUARTILE(Data!Z$4:Z$153,1),1,IF(Data!Z133&lt;=MEDIAN(Data!Z$4:Z$153),2,IF(Data!Z133&lt;=QUARTILE(Data!Z$4:Z$153,3),3,4)))</f>
        <v>3</v>
      </c>
      <c r="AA133" s="8">
        <f>IF(Data!AA133&lt;=QUARTILE(Data!AA$4:AA$153,1),1,IF(Data!AA133&lt;=MEDIAN(Data!AA$4:AA$153),2,IF(Data!AA133&lt;=QUARTILE(Data!AA$4:AA$153,3),3,4)))</f>
        <v>2</v>
      </c>
      <c r="AB133" s="8">
        <f>IF(Data!AB133&lt;=QUARTILE(Data!AB$4:AB$153,1),1,IF(Data!AB133&lt;=MEDIAN(Data!AB$4:AB$153),2,IF(Data!AB133&lt;=QUARTILE(Data!AB$4:AB$153,3),3,4)))</f>
        <v>2</v>
      </c>
      <c r="AC133" s="8">
        <f>IF(Data!AC133&lt;=QUARTILE(Data!AC$4:AC$153,1),1,IF(Data!AC133&lt;=MEDIAN(Data!AC$4:AC$153),2,IF(Data!AC133&lt;=QUARTILE(Data!AC$4:AC$153,3),3,4)))</f>
        <v>2</v>
      </c>
      <c r="AD133" s="8">
        <f>IF(Data!AD133&lt;=QUARTILE(Data!AD$4:AD$153,1),1,IF(Data!AD133&lt;=MEDIAN(Data!AD$4:AD$153),2,IF(Data!AD133&lt;=QUARTILE(Data!AD$4:AD$153,3),3,4)))</f>
        <v>3</v>
      </c>
      <c r="AE133" s="8">
        <f>IF(Data!AE133&lt;=QUARTILE(Data!AE$4:AE$153,1),1,IF(Data!AE133&lt;=MEDIAN(Data!AE$4:AE$153),2,IF(Data!AE133&lt;=QUARTILE(Data!AE$4:AE$153,3),3,4)))</f>
        <v>1</v>
      </c>
      <c r="AF133" s="8">
        <f>IF(Data!AF133&lt;=QUARTILE(Data!AF$4:AF$153,1),1,IF(Data!AF133&lt;=MEDIAN(Data!AF$4:AF$153),2,IF(Data!AF133&lt;=QUARTILE(Data!AF$4:AF$153,3),3,4)))</f>
        <v>1</v>
      </c>
      <c r="AG133" s="8">
        <f>IF(Data!AG133&lt;=QUARTILE(Data!AG$4:AG$153,1),1,IF(Data!AG133&lt;=MEDIAN(Data!AG$4:AG$153),2,IF(Data!AG133&lt;=QUARTILE(Data!AG$4:AG$153,3),3,4)))</f>
        <v>2</v>
      </c>
      <c r="AH133" s="9">
        <f>IF(Data!AH133&lt;=QUARTILE(Data!AH$4:AH$153,1),1,IF(Data!AH133&lt;=MEDIAN(Data!AH$4:AH$153),2,IF(Data!AH133&lt;=QUARTILE(Data!AH$4:AH$153,3),3,4)))</f>
        <v>1</v>
      </c>
    </row>
    <row r="134" spans="1:34" x14ac:dyDescent="0.25">
      <c r="A134" s="7" t="s">
        <v>19</v>
      </c>
      <c r="B134" s="14" t="s">
        <v>72</v>
      </c>
      <c r="C134" s="7">
        <v>44</v>
      </c>
      <c r="D134" s="8">
        <v>38</v>
      </c>
      <c r="E134" s="42" t="s">
        <v>58</v>
      </c>
      <c r="F134" s="9">
        <v>0.49</v>
      </c>
      <c r="G134" s="7">
        <f>IF(Data!G134&lt;=QUARTILE(Data!G$4:G$153,1),1,IF(Data!G134&lt;=MEDIAN(Data!G$4:G$153),2,IF(Data!G134&lt;=QUARTILE(Data!G$4:G$153,3),3,4)))</f>
        <v>1</v>
      </c>
      <c r="H134" s="8">
        <f>IF(Data!H134&lt;=QUARTILE(Data!H$4:H$153,1),1,IF(Data!H134&lt;=MEDIAN(Data!H$4:H$153),2,IF(Data!H134&lt;=QUARTILE(Data!H$4:H$153,3),3,4)))</f>
        <v>1</v>
      </c>
      <c r="I134" s="8">
        <f>IF(Data!I134&lt;=QUARTILE(Data!I$4:I$153,1),1,IF(Data!I134&lt;=MEDIAN(Data!I$4:I$153),2,IF(Data!I134&lt;=QUARTILE(Data!I$4:I$153,3),3,4)))</f>
        <v>3</v>
      </c>
      <c r="J134" s="8">
        <f>IF(Data!J134&lt;=QUARTILE(Data!J$4:J$153,1),1,IF(Data!J134&lt;=MEDIAN(Data!J$4:J$153),2,IF(Data!J134&lt;=QUARTILE(Data!J$4:J$153,3),3,4)))</f>
        <v>3</v>
      </c>
      <c r="K134" s="8">
        <f>IF(Data!K134&lt;=QUARTILE(Data!K$4:K$153,1),1,IF(Data!K134&lt;=MEDIAN(Data!K$4:K$153),2,IF(Data!K134&lt;=QUARTILE(Data!K$4:K$153,3),3,4)))</f>
        <v>4</v>
      </c>
      <c r="L134" s="8">
        <f>IF(Data!L134&lt;=QUARTILE(Data!L$4:L$153,1),1,IF(Data!L134&lt;=MEDIAN(Data!L$4:L$153),2,IF(Data!L134&lt;=QUARTILE(Data!L$4:L$153,3),3,4)))</f>
        <v>3</v>
      </c>
      <c r="M134" s="8">
        <f>IF(Data!M134&lt;=QUARTILE(Data!M$4:M$153,1),1,IF(Data!M134&lt;=MEDIAN(Data!M$4:M$153),2,IF(Data!M134&lt;=QUARTILE(Data!M$4:M$153,3),3,4)))</f>
        <v>2</v>
      </c>
      <c r="N134" s="8">
        <f>IF(Data!N134&lt;=QUARTILE(Data!N$4:N$153,1),1,IF(Data!N134&lt;=MEDIAN(Data!N$4:N$153),2,IF(Data!N134&lt;=QUARTILE(Data!N$4:N$153,3),3,4)))</f>
        <v>2</v>
      </c>
      <c r="O134" s="8">
        <f>IF(Data!O134&lt;=QUARTILE(Data!O$4:O$153,1),1,IF(Data!O134&lt;=MEDIAN(Data!O$4:O$153),2,IF(Data!O134&lt;=QUARTILE(Data!O$4:O$153,3),3,4)))</f>
        <v>1</v>
      </c>
      <c r="P134" s="8">
        <f>IF(Data!P134&lt;=QUARTILE(Data!P$4:P$153,1),1,IF(Data!P134&lt;=MEDIAN(Data!P$4:P$153),2,IF(Data!P134&lt;=QUARTILE(Data!P$4:P$153,3),3,4)))</f>
        <v>3</v>
      </c>
      <c r="Q134" s="8">
        <f>IF(Data!Q134&lt;=QUARTILE(Data!Q$4:Q$153,1),1,IF(Data!Q134&lt;=MEDIAN(Data!Q$4:Q$153),2,IF(Data!Q134&lt;=QUARTILE(Data!Q$4:Q$153,3),3,4)))</f>
        <v>2</v>
      </c>
      <c r="R134" s="8">
        <f>IF(Data!R134&lt;=QUARTILE(Data!R$4:R$153,1),1,IF(Data!R134&lt;=MEDIAN(Data!R$4:R$153),2,IF(Data!R134&lt;=QUARTILE(Data!R$4:R$153,3),3,4)))</f>
        <v>2</v>
      </c>
      <c r="S134" s="8">
        <f>IF(Data!S134&lt;=QUARTILE(Data!S$4:S$153,1),1,IF(Data!S134&lt;=MEDIAN(Data!S$4:S$153),2,IF(Data!S134&lt;=QUARTILE(Data!S$4:S$153,3),3,4)))</f>
        <v>3</v>
      </c>
      <c r="T134" s="9">
        <f>IF(Data!T134&lt;=QUARTILE(Data!T$4:T$153,1),1,IF(Data!T134&lt;=MEDIAN(Data!T$4:T$153),2,IF(Data!T134&lt;=QUARTILE(Data!T$4:T$153,3),3,4)))</f>
        <v>1</v>
      </c>
      <c r="U134" s="7">
        <f>IF(Data!U134&lt;=QUARTILE(Data!U$4:U$153,1),1,IF(Data!U134&lt;=MEDIAN(Data!U$4:U$153),2,IF(Data!U134&lt;=QUARTILE(Data!U$4:U$153,3),3,4)))</f>
        <v>1</v>
      </c>
      <c r="V134" s="8">
        <f>IF(Data!V134&lt;=QUARTILE(Data!V$4:V$153,1),1,IF(Data!V134&lt;=MEDIAN(Data!V$4:V$153),2,IF(Data!V134&lt;=QUARTILE(Data!V$4:V$153,3),3,4)))</f>
        <v>1</v>
      </c>
      <c r="W134" s="8">
        <f>IF(Data!W134&lt;=QUARTILE(Data!W$4:W$153,1),1,IF(Data!W134&lt;=MEDIAN(Data!W$4:W$153),2,IF(Data!W134&lt;=QUARTILE(Data!W$4:W$153,3),3,4)))</f>
        <v>1</v>
      </c>
      <c r="X134" s="8">
        <f>IF(Data!X134&lt;=QUARTILE(Data!X$4:X$153,1),1,IF(Data!X134&lt;=MEDIAN(Data!X$4:X$153),2,IF(Data!X134&lt;=QUARTILE(Data!X$4:X$153,3),3,4)))</f>
        <v>1</v>
      </c>
      <c r="Y134" s="8">
        <f>IF(Data!Y134&lt;=QUARTILE(Data!Y$4:Y$153,1),1,IF(Data!Y134&lt;=MEDIAN(Data!Y$4:Y$153),2,IF(Data!Y134&lt;=QUARTILE(Data!Y$4:Y$153,3),3,4)))</f>
        <v>3</v>
      </c>
      <c r="Z134" s="8">
        <f>IF(Data!Z134&lt;=QUARTILE(Data!Z$4:Z$153,1),1,IF(Data!Z134&lt;=MEDIAN(Data!Z$4:Z$153),2,IF(Data!Z134&lt;=QUARTILE(Data!Z$4:Z$153,3),3,4)))</f>
        <v>3</v>
      </c>
      <c r="AA134" s="8">
        <f>IF(Data!AA134&lt;=QUARTILE(Data!AA$4:AA$153,1),1,IF(Data!AA134&lt;=MEDIAN(Data!AA$4:AA$153),2,IF(Data!AA134&lt;=QUARTILE(Data!AA$4:AA$153,3),3,4)))</f>
        <v>3</v>
      </c>
      <c r="AB134" s="8">
        <f>IF(Data!AB134&lt;=QUARTILE(Data!AB$4:AB$153,1),1,IF(Data!AB134&lt;=MEDIAN(Data!AB$4:AB$153),2,IF(Data!AB134&lt;=QUARTILE(Data!AB$4:AB$153,3),3,4)))</f>
        <v>2</v>
      </c>
      <c r="AC134" s="8">
        <f>IF(Data!AC134&lt;=QUARTILE(Data!AC$4:AC$153,1),1,IF(Data!AC134&lt;=MEDIAN(Data!AC$4:AC$153),2,IF(Data!AC134&lt;=QUARTILE(Data!AC$4:AC$153,3),3,4)))</f>
        <v>1</v>
      </c>
      <c r="AD134" s="8">
        <f>IF(Data!AD134&lt;=QUARTILE(Data!AD$4:AD$153,1),1,IF(Data!AD134&lt;=MEDIAN(Data!AD$4:AD$153),2,IF(Data!AD134&lt;=QUARTILE(Data!AD$4:AD$153,3),3,4)))</f>
        <v>1</v>
      </c>
      <c r="AE134" s="8">
        <f>IF(Data!AE134&lt;=QUARTILE(Data!AE$4:AE$153,1),1,IF(Data!AE134&lt;=MEDIAN(Data!AE$4:AE$153),2,IF(Data!AE134&lt;=QUARTILE(Data!AE$4:AE$153,3),3,4)))</f>
        <v>3</v>
      </c>
      <c r="AF134" s="8">
        <f>IF(Data!AF134&lt;=QUARTILE(Data!AF$4:AF$153,1),1,IF(Data!AF134&lt;=MEDIAN(Data!AF$4:AF$153),2,IF(Data!AF134&lt;=QUARTILE(Data!AF$4:AF$153,3),3,4)))</f>
        <v>2</v>
      </c>
      <c r="AG134" s="8">
        <f>IF(Data!AG134&lt;=QUARTILE(Data!AG$4:AG$153,1),1,IF(Data!AG134&lt;=MEDIAN(Data!AG$4:AG$153),2,IF(Data!AG134&lt;=QUARTILE(Data!AG$4:AG$153,3),3,4)))</f>
        <v>3</v>
      </c>
      <c r="AH134" s="9">
        <f>IF(Data!AH134&lt;=QUARTILE(Data!AH$4:AH$153,1),1,IF(Data!AH134&lt;=MEDIAN(Data!AH$4:AH$153),2,IF(Data!AH134&lt;=QUARTILE(Data!AH$4:AH$153,3),3,4)))</f>
        <v>1</v>
      </c>
    </row>
    <row r="135" spans="1:34" x14ac:dyDescent="0.25">
      <c r="A135" s="7" t="s">
        <v>27</v>
      </c>
      <c r="B135" s="14" t="s">
        <v>72</v>
      </c>
      <c r="C135" s="7">
        <v>37</v>
      </c>
      <c r="D135" s="8">
        <v>45</v>
      </c>
      <c r="E135" s="42" t="s">
        <v>59</v>
      </c>
      <c r="F135" s="9">
        <v>-0.47</v>
      </c>
      <c r="G135" s="7">
        <f>IF(Data!G135&lt;=QUARTILE(Data!G$4:G$153,1),1,IF(Data!G135&lt;=MEDIAN(Data!G$4:G$153),2,IF(Data!G135&lt;=QUARTILE(Data!G$4:G$153,3),3,4)))</f>
        <v>2</v>
      </c>
      <c r="H135" s="8">
        <f>IF(Data!H135&lt;=QUARTILE(Data!H$4:H$153,1),1,IF(Data!H135&lt;=MEDIAN(Data!H$4:H$153),2,IF(Data!H135&lt;=QUARTILE(Data!H$4:H$153,3),3,4)))</f>
        <v>1</v>
      </c>
      <c r="I135" s="8">
        <f>IF(Data!I135&lt;=QUARTILE(Data!I$4:I$153,1),1,IF(Data!I135&lt;=MEDIAN(Data!I$4:I$153),2,IF(Data!I135&lt;=QUARTILE(Data!I$4:I$153,3),3,4)))</f>
        <v>1</v>
      </c>
      <c r="J135" s="8">
        <f>IF(Data!J135&lt;=QUARTILE(Data!J$4:J$153,1),1,IF(Data!J135&lt;=MEDIAN(Data!J$4:J$153),2,IF(Data!J135&lt;=QUARTILE(Data!J$4:J$153,3),3,4)))</f>
        <v>1</v>
      </c>
      <c r="K135" s="8">
        <f>IF(Data!K135&lt;=QUARTILE(Data!K$4:K$153,1),1,IF(Data!K135&lt;=MEDIAN(Data!K$4:K$153),2,IF(Data!K135&lt;=QUARTILE(Data!K$4:K$153,3),3,4)))</f>
        <v>4</v>
      </c>
      <c r="L135" s="8">
        <f>IF(Data!L135&lt;=QUARTILE(Data!L$4:L$153,1),1,IF(Data!L135&lt;=MEDIAN(Data!L$4:L$153),2,IF(Data!L135&lt;=QUARTILE(Data!L$4:L$153,3),3,4)))</f>
        <v>4</v>
      </c>
      <c r="M135" s="8">
        <f>IF(Data!M135&lt;=QUARTILE(Data!M$4:M$153,1),1,IF(Data!M135&lt;=MEDIAN(Data!M$4:M$153),2,IF(Data!M135&lt;=QUARTILE(Data!M$4:M$153,3),3,4)))</f>
        <v>3</v>
      </c>
      <c r="N135" s="8">
        <f>IF(Data!N135&lt;=QUARTILE(Data!N$4:N$153,1),1,IF(Data!N135&lt;=MEDIAN(Data!N$4:N$153),2,IF(Data!N135&lt;=QUARTILE(Data!N$4:N$153,3),3,4)))</f>
        <v>2</v>
      </c>
      <c r="O135" s="8">
        <f>IF(Data!O135&lt;=QUARTILE(Data!O$4:O$153,1),1,IF(Data!O135&lt;=MEDIAN(Data!O$4:O$153),2,IF(Data!O135&lt;=QUARTILE(Data!O$4:O$153,3),3,4)))</f>
        <v>4</v>
      </c>
      <c r="P135" s="8">
        <f>IF(Data!P135&lt;=QUARTILE(Data!P$4:P$153,1),1,IF(Data!P135&lt;=MEDIAN(Data!P$4:P$153),2,IF(Data!P135&lt;=QUARTILE(Data!P$4:P$153,3),3,4)))</f>
        <v>3</v>
      </c>
      <c r="Q135" s="8">
        <f>IF(Data!Q135&lt;=QUARTILE(Data!Q$4:Q$153,1),1,IF(Data!Q135&lt;=MEDIAN(Data!Q$4:Q$153),2,IF(Data!Q135&lt;=QUARTILE(Data!Q$4:Q$153,3),3,4)))</f>
        <v>3</v>
      </c>
      <c r="R135" s="8">
        <f>IF(Data!R135&lt;=QUARTILE(Data!R$4:R$153,1),1,IF(Data!R135&lt;=MEDIAN(Data!R$4:R$153),2,IF(Data!R135&lt;=QUARTILE(Data!R$4:R$153,3),3,4)))</f>
        <v>4</v>
      </c>
      <c r="S135" s="8">
        <f>IF(Data!S135&lt;=QUARTILE(Data!S$4:S$153,1),1,IF(Data!S135&lt;=MEDIAN(Data!S$4:S$153),2,IF(Data!S135&lt;=QUARTILE(Data!S$4:S$153,3),3,4)))</f>
        <v>3</v>
      </c>
      <c r="T135" s="9">
        <f>IF(Data!T135&lt;=QUARTILE(Data!T$4:T$153,1),1,IF(Data!T135&lt;=MEDIAN(Data!T$4:T$153),2,IF(Data!T135&lt;=QUARTILE(Data!T$4:T$153,3),3,4)))</f>
        <v>2</v>
      </c>
      <c r="U135" s="7">
        <f>IF(Data!U135&lt;=QUARTILE(Data!U$4:U$153,1),1,IF(Data!U135&lt;=MEDIAN(Data!U$4:U$153),2,IF(Data!U135&lt;=QUARTILE(Data!U$4:U$153,3),3,4)))</f>
        <v>2</v>
      </c>
      <c r="V135" s="8">
        <f>IF(Data!V135&lt;=QUARTILE(Data!V$4:V$153,1),1,IF(Data!V135&lt;=MEDIAN(Data!V$4:V$153),2,IF(Data!V135&lt;=QUARTILE(Data!V$4:V$153,3),3,4)))</f>
        <v>3</v>
      </c>
      <c r="W135" s="8">
        <f>IF(Data!W135&lt;=QUARTILE(Data!W$4:W$153,1),1,IF(Data!W135&lt;=MEDIAN(Data!W$4:W$153),2,IF(Data!W135&lt;=QUARTILE(Data!W$4:W$153,3),3,4)))</f>
        <v>2</v>
      </c>
      <c r="X135" s="8">
        <f>IF(Data!X135&lt;=QUARTILE(Data!X$4:X$153,1),1,IF(Data!X135&lt;=MEDIAN(Data!X$4:X$153),2,IF(Data!X135&lt;=QUARTILE(Data!X$4:X$153,3),3,4)))</f>
        <v>2</v>
      </c>
      <c r="Y135" s="8">
        <f>IF(Data!Y135&lt;=QUARTILE(Data!Y$4:Y$153,1),1,IF(Data!Y135&lt;=MEDIAN(Data!Y$4:Y$153),2,IF(Data!Y135&lt;=QUARTILE(Data!Y$4:Y$153,3),3,4)))</f>
        <v>2</v>
      </c>
      <c r="Z135" s="8">
        <f>IF(Data!Z135&lt;=QUARTILE(Data!Z$4:Z$153,1),1,IF(Data!Z135&lt;=MEDIAN(Data!Z$4:Z$153),2,IF(Data!Z135&lt;=QUARTILE(Data!Z$4:Z$153,3),3,4)))</f>
        <v>2</v>
      </c>
      <c r="AA135" s="8">
        <f>IF(Data!AA135&lt;=QUARTILE(Data!AA$4:AA$153,1),1,IF(Data!AA135&lt;=MEDIAN(Data!AA$4:AA$153),2,IF(Data!AA135&lt;=QUARTILE(Data!AA$4:AA$153,3),3,4)))</f>
        <v>4</v>
      </c>
      <c r="AB135" s="8">
        <f>IF(Data!AB135&lt;=QUARTILE(Data!AB$4:AB$153,1),1,IF(Data!AB135&lt;=MEDIAN(Data!AB$4:AB$153),2,IF(Data!AB135&lt;=QUARTILE(Data!AB$4:AB$153,3),3,4)))</f>
        <v>1</v>
      </c>
      <c r="AC135" s="8">
        <f>IF(Data!AC135&lt;=QUARTILE(Data!AC$4:AC$153,1),1,IF(Data!AC135&lt;=MEDIAN(Data!AC$4:AC$153),2,IF(Data!AC135&lt;=QUARTILE(Data!AC$4:AC$153,3),3,4)))</f>
        <v>2</v>
      </c>
      <c r="AD135" s="8">
        <f>IF(Data!AD135&lt;=QUARTILE(Data!AD$4:AD$153,1),1,IF(Data!AD135&lt;=MEDIAN(Data!AD$4:AD$153),2,IF(Data!AD135&lt;=QUARTILE(Data!AD$4:AD$153,3),3,4)))</f>
        <v>4</v>
      </c>
      <c r="AE135" s="8">
        <f>IF(Data!AE135&lt;=QUARTILE(Data!AE$4:AE$153,1),1,IF(Data!AE135&lt;=MEDIAN(Data!AE$4:AE$153),2,IF(Data!AE135&lt;=QUARTILE(Data!AE$4:AE$153,3),3,4)))</f>
        <v>2</v>
      </c>
      <c r="AF135" s="8">
        <f>IF(Data!AF135&lt;=QUARTILE(Data!AF$4:AF$153,1),1,IF(Data!AF135&lt;=MEDIAN(Data!AF$4:AF$153),2,IF(Data!AF135&lt;=QUARTILE(Data!AF$4:AF$153,3),3,4)))</f>
        <v>2</v>
      </c>
      <c r="AG135" s="8">
        <f>IF(Data!AG135&lt;=QUARTILE(Data!AG$4:AG$153,1),1,IF(Data!AG135&lt;=MEDIAN(Data!AG$4:AG$153),2,IF(Data!AG135&lt;=QUARTILE(Data!AG$4:AG$153,3),3,4)))</f>
        <v>4</v>
      </c>
      <c r="AH135" s="9">
        <f>IF(Data!AH135&lt;=QUARTILE(Data!AH$4:AH$153,1),1,IF(Data!AH135&lt;=MEDIAN(Data!AH$4:AH$153),2,IF(Data!AH135&lt;=QUARTILE(Data!AH$4:AH$153,3),3,4)))</f>
        <v>2</v>
      </c>
    </row>
    <row r="136" spans="1:34" x14ac:dyDescent="0.25">
      <c r="A136" s="7" t="s">
        <v>70</v>
      </c>
      <c r="B136" s="14" t="s">
        <v>72</v>
      </c>
      <c r="C136" s="7">
        <v>34</v>
      </c>
      <c r="D136" s="8">
        <v>48</v>
      </c>
      <c r="E136" s="42" t="s">
        <v>59</v>
      </c>
      <c r="F136" s="9">
        <v>-2.33</v>
      </c>
      <c r="G136" s="7">
        <f>IF(Data!G136&lt;=QUARTILE(Data!G$4:G$153,1),1,IF(Data!G136&lt;=MEDIAN(Data!G$4:G$153),2,IF(Data!G136&lt;=QUARTILE(Data!G$4:G$153,3),3,4)))</f>
        <v>1</v>
      </c>
      <c r="H136" s="8">
        <f>IF(Data!H136&lt;=QUARTILE(Data!H$4:H$153,1),1,IF(Data!H136&lt;=MEDIAN(Data!H$4:H$153),2,IF(Data!H136&lt;=QUARTILE(Data!H$4:H$153,3),3,4)))</f>
        <v>3</v>
      </c>
      <c r="I136" s="8">
        <f>IF(Data!I136&lt;=QUARTILE(Data!I$4:I$153,1),1,IF(Data!I136&lt;=MEDIAN(Data!I$4:I$153),2,IF(Data!I136&lt;=QUARTILE(Data!I$4:I$153,3),3,4)))</f>
        <v>4</v>
      </c>
      <c r="J136" s="8">
        <f>IF(Data!J136&lt;=QUARTILE(Data!J$4:J$153,1),1,IF(Data!J136&lt;=MEDIAN(Data!J$4:J$153),2,IF(Data!J136&lt;=QUARTILE(Data!J$4:J$153,3),3,4)))</f>
        <v>4</v>
      </c>
      <c r="K136" s="8">
        <f>IF(Data!K136&lt;=QUARTILE(Data!K$4:K$153,1),1,IF(Data!K136&lt;=MEDIAN(Data!K$4:K$153),2,IF(Data!K136&lt;=QUARTILE(Data!K$4:K$153,3),3,4)))</f>
        <v>3</v>
      </c>
      <c r="L136" s="8">
        <f>IF(Data!L136&lt;=QUARTILE(Data!L$4:L$153,1),1,IF(Data!L136&lt;=MEDIAN(Data!L$4:L$153),2,IF(Data!L136&lt;=QUARTILE(Data!L$4:L$153,3),3,4)))</f>
        <v>3</v>
      </c>
      <c r="M136" s="8">
        <f>IF(Data!M136&lt;=QUARTILE(Data!M$4:M$153,1),1,IF(Data!M136&lt;=MEDIAN(Data!M$4:M$153),2,IF(Data!M136&lt;=QUARTILE(Data!M$4:M$153,3),3,4)))</f>
        <v>4</v>
      </c>
      <c r="N136" s="8">
        <f>IF(Data!N136&lt;=QUARTILE(Data!N$4:N$153,1),1,IF(Data!N136&lt;=MEDIAN(Data!N$4:N$153),2,IF(Data!N136&lt;=QUARTILE(Data!N$4:N$153,3),3,4)))</f>
        <v>3</v>
      </c>
      <c r="O136" s="8">
        <f>IF(Data!O136&lt;=QUARTILE(Data!O$4:O$153,1),1,IF(Data!O136&lt;=MEDIAN(Data!O$4:O$153),2,IF(Data!O136&lt;=QUARTILE(Data!O$4:O$153,3),3,4)))</f>
        <v>2</v>
      </c>
      <c r="P136" s="8">
        <f>IF(Data!P136&lt;=QUARTILE(Data!P$4:P$153,1),1,IF(Data!P136&lt;=MEDIAN(Data!P$4:P$153),2,IF(Data!P136&lt;=QUARTILE(Data!P$4:P$153,3),3,4)))</f>
        <v>1</v>
      </c>
      <c r="Q136" s="8">
        <f>IF(Data!Q136&lt;=QUARTILE(Data!Q$4:Q$153,1),1,IF(Data!Q136&lt;=MEDIAN(Data!Q$4:Q$153),2,IF(Data!Q136&lt;=QUARTILE(Data!Q$4:Q$153,3),3,4)))</f>
        <v>2</v>
      </c>
      <c r="R136" s="8">
        <f>IF(Data!R136&lt;=QUARTILE(Data!R$4:R$153,1),1,IF(Data!R136&lt;=MEDIAN(Data!R$4:R$153),2,IF(Data!R136&lt;=QUARTILE(Data!R$4:R$153,3),3,4)))</f>
        <v>2</v>
      </c>
      <c r="S136" s="8">
        <f>IF(Data!S136&lt;=QUARTILE(Data!S$4:S$153,1),1,IF(Data!S136&lt;=MEDIAN(Data!S$4:S$153),2,IF(Data!S136&lt;=QUARTILE(Data!S$4:S$153,3),3,4)))</f>
        <v>2</v>
      </c>
      <c r="T136" s="9">
        <f>IF(Data!T136&lt;=QUARTILE(Data!T$4:T$153,1),1,IF(Data!T136&lt;=MEDIAN(Data!T$4:T$153),2,IF(Data!T136&lt;=QUARTILE(Data!T$4:T$153,3),3,4)))</f>
        <v>3</v>
      </c>
      <c r="U136" s="7">
        <f>IF(Data!U136&lt;=QUARTILE(Data!U$4:U$153,1),1,IF(Data!U136&lt;=MEDIAN(Data!U$4:U$153),2,IF(Data!U136&lt;=QUARTILE(Data!U$4:U$153,3),3,4)))</f>
        <v>4</v>
      </c>
      <c r="V136" s="8">
        <f>IF(Data!V136&lt;=QUARTILE(Data!V$4:V$153,1),1,IF(Data!V136&lt;=MEDIAN(Data!V$4:V$153),2,IF(Data!V136&lt;=QUARTILE(Data!V$4:V$153,3),3,4)))</f>
        <v>4</v>
      </c>
      <c r="W136" s="8">
        <f>IF(Data!W136&lt;=QUARTILE(Data!W$4:W$153,1),1,IF(Data!W136&lt;=MEDIAN(Data!W$4:W$153),2,IF(Data!W136&lt;=QUARTILE(Data!W$4:W$153,3),3,4)))</f>
        <v>3</v>
      </c>
      <c r="X136" s="8">
        <f>IF(Data!X136&lt;=QUARTILE(Data!X$4:X$153,1),1,IF(Data!X136&lt;=MEDIAN(Data!X$4:X$153),2,IF(Data!X136&lt;=QUARTILE(Data!X$4:X$153,3),3,4)))</f>
        <v>4</v>
      </c>
      <c r="Y136" s="8">
        <f>IF(Data!Y136&lt;=QUARTILE(Data!Y$4:Y$153,1),1,IF(Data!Y136&lt;=MEDIAN(Data!Y$4:Y$153),2,IF(Data!Y136&lt;=QUARTILE(Data!Y$4:Y$153,3),3,4)))</f>
        <v>2</v>
      </c>
      <c r="Z136" s="8">
        <f>IF(Data!Z136&lt;=QUARTILE(Data!Z$4:Z$153,1),1,IF(Data!Z136&lt;=MEDIAN(Data!Z$4:Z$153),2,IF(Data!Z136&lt;=QUARTILE(Data!Z$4:Z$153,3),3,4)))</f>
        <v>1</v>
      </c>
      <c r="AA136" s="8">
        <f>IF(Data!AA136&lt;=QUARTILE(Data!AA$4:AA$153,1),1,IF(Data!AA136&lt;=MEDIAN(Data!AA$4:AA$153),2,IF(Data!AA136&lt;=QUARTILE(Data!AA$4:AA$153,3),3,4)))</f>
        <v>4</v>
      </c>
      <c r="AB136" s="8">
        <f>IF(Data!AB136&lt;=QUARTILE(Data!AB$4:AB$153,1),1,IF(Data!AB136&lt;=MEDIAN(Data!AB$4:AB$153),2,IF(Data!AB136&lt;=QUARTILE(Data!AB$4:AB$153,3),3,4)))</f>
        <v>2</v>
      </c>
      <c r="AC136" s="8">
        <f>IF(Data!AC136&lt;=QUARTILE(Data!AC$4:AC$153,1),1,IF(Data!AC136&lt;=MEDIAN(Data!AC$4:AC$153),2,IF(Data!AC136&lt;=QUARTILE(Data!AC$4:AC$153,3),3,4)))</f>
        <v>4</v>
      </c>
      <c r="AD136" s="8">
        <f>IF(Data!AD136&lt;=QUARTILE(Data!AD$4:AD$153,1),1,IF(Data!AD136&lt;=MEDIAN(Data!AD$4:AD$153),2,IF(Data!AD136&lt;=QUARTILE(Data!AD$4:AD$153,3),3,4)))</f>
        <v>3</v>
      </c>
      <c r="AE136" s="8">
        <f>IF(Data!AE136&lt;=QUARTILE(Data!AE$4:AE$153,1),1,IF(Data!AE136&lt;=MEDIAN(Data!AE$4:AE$153),2,IF(Data!AE136&lt;=QUARTILE(Data!AE$4:AE$153,3),3,4)))</f>
        <v>3</v>
      </c>
      <c r="AF136" s="8">
        <f>IF(Data!AF136&lt;=QUARTILE(Data!AF$4:AF$153,1),1,IF(Data!AF136&lt;=MEDIAN(Data!AF$4:AF$153),2,IF(Data!AF136&lt;=QUARTILE(Data!AF$4:AF$153,3),3,4)))</f>
        <v>1</v>
      </c>
      <c r="AG136" s="8">
        <f>IF(Data!AG136&lt;=QUARTILE(Data!AG$4:AG$153,1),1,IF(Data!AG136&lt;=MEDIAN(Data!AG$4:AG$153),2,IF(Data!AG136&lt;=QUARTILE(Data!AG$4:AG$153,3),3,4)))</f>
        <v>3</v>
      </c>
      <c r="AH136" s="9">
        <f>IF(Data!AH136&lt;=QUARTILE(Data!AH$4:AH$153,1),1,IF(Data!AH136&lt;=MEDIAN(Data!AH$4:AH$153),2,IF(Data!AH136&lt;=QUARTILE(Data!AH$4:AH$153,3),3,4)))</f>
        <v>3</v>
      </c>
    </row>
    <row r="137" spans="1:34" x14ac:dyDescent="0.25">
      <c r="A137" s="7" t="s">
        <v>28</v>
      </c>
      <c r="B137" s="14" t="s">
        <v>72</v>
      </c>
      <c r="C137" s="7">
        <v>45</v>
      </c>
      <c r="D137" s="8">
        <v>37</v>
      </c>
      <c r="E137" s="42" t="s">
        <v>58</v>
      </c>
      <c r="F137" s="9">
        <v>2.63</v>
      </c>
      <c r="G137" s="7">
        <f>IF(Data!G137&lt;=QUARTILE(Data!G$4:G$153,1),1,IF(Data!G137&lt;=MEDIAN(Data!G$4:G$153),2,IF(Data!G137&lt;=QUARTILE(Data!G$4:G$153,3),3,4)))</f>
        <v>1</v>
      </c>
      <c r="H137" s="8">
        <f>IF(Data!H137&lt;=QUARTILE(Data!H$4:H$153,1),1,IF(Data!H137&lt;=MEDIAN(Data!H$4:H$153),2,IF(Data!H137&lt;=QUARTILE(Data!H$4:H$153,3),3,4)))</f>
        <v>1</v>
      </c>
      <c r="I137" s="8">
        <f>IF(Data!I137&lt;=QUARTILE(Data!I$4:I$153,1),1,IF(Data!I137&lt;=MEDIAN(Data!I$4:I$153),2,IF(Data!I137&lt;=QUARTILE(Data!I$4:I$153,3),3,4)))</f>
        <v>3</v>
      </c>
      <c r="J137" s="8">
        <f>IF(Data!J137&lt;=QUARTILE(Data!J$4:J$153,1),1,IF(Data!J137&lt;=MEDIAN(Data!J$4:J$153),2,IF(Data!J137&lt;=QUARTILE(Data!J$4:J$153,3),3,4)))</f>
        <v>3</v>
      </c>
      <c r="K137" s="8">
        <f>IF(Data!K137&lt;=QUARTILE(Data!K$4:K$153,1),1,IF(Data!K137&lt;=MEDIAN(Data!K$4:K$153),2,IF(Data!K137&lt;=QUARTILE(Data!K$4:K$153,3),3,4)))</f>
        <v>2</v>
      </c>
      <c r="L137" s="8">
        <f>IF(Data!L137&lt;=QUARTILE(Data!L$4:L$153,1),1,IF(Data!L137&lt;=MEDIAN(Data!L$4:L$153),2,IF(Data!L137&lt;=QUARTILE(Data!L$4:L$153,3),3,4)))</f>
        <v>2</v>
      </c>
      <c r="M137" s="8">
        <f>IF(Data!M137&lt;=QUARTILE(Data!M$4:M$153,1),1,IF(Data!M137&lt;=MEDIAN(Data!M$4:M$153),2,IF(Data!M137&lt;=QUARTILE(Data!M$4:M$153,3),3,4)))</f>
        <v>2</v>
      </c>
      <c r="N137" s="8">
        <f>IF(Data!N137&lt;=QUARTILE(Data!N$4:N$153,1),1,IF(Data!N137&lt;=MEDIAN(Data!N$4:N$153),2,IF(Data!N137&lt;=QUARTILE(Data!N$4:N$153,3),3,4)))</f>
        <v>1</v>
      </c>
      <c r="O137" s="8">
        <f>IF(Data!O137&lt;=QUARTILE(Data!O$4:O$153,1),1,IF(Data!O137&lt;=MEDIAN(Data!O$4:O$153),2,IF(Data!O137&lt;=QUARTILE(Data!O$4:O$153,3),3,4)))</f>
        <v>2</v>
      </c>
      <c r="P137" s="8">
        <f>IF(Data!P137&lt;=QUARTILE(Data!P$4:P$153,1),1,IF(Data!P137&lt;=MEDIAN(Data!P$4:P$153),2,IF(Data!P137&lt;=QUARTILE(Data!P$4:P$153,3),3,4)))</f>
        <v>4</v>
      </c>
      <c r="Q137" s="8">
        <f>IF(Data!Q137&lt;=QUARTILE(Data!Q$4:Q$153,1),1,IF(Data!Q137&lt;=MEDIAN(Data!Q$4:Q$153),2,IF(Data!Q137&lt;=QUARTILE(Data!Q$4:Q$153,3),3,4)))</f>
        <v>4</v>
      </c>
      <c r="R137" s="8">
        <f>IF(Data!R137&lt;=QUARTILE(Data!R$4:R$153,1),1,IF(Data!R137&lt;=MEDIAN(Data!R$4:R$153),2,IF(Data!R137&lt;=QUARTILE(Data!R$4:R$153,3),3,4)))</f>
        <v>3</v>
      </c>
      <c r="S137" s="8">
        <f>IF(Data!S137&lt;=QUARTILE(Data!S$4:S$153,1),1,IF(Data!S137&lt;=MEDIAN(Data!S$4:S$153),2,IF(Data!S137&lt;=QUARTILE(Data!S$4:S$153,3),3,4)))</f>
        <v>4</v>
      </c>
      <c r="T137" s="9">
        <f>IF(Data!T137&lt;=QUARTILE(Data!T$4:T$153,1),1,IF(Data!T137&lt;=MEDIAN(Data!T$4:T$153),2,IF(Data!T137&lt;=QUARTILE(Data!T$4:T$153,3),3,4)))</f>
        <v>1</v>
      </c>
      <c r="U137" s="7">
        <f>IF(Data!U137&lt;=QUARTILE(Data!U$4:U$153,1),1,IF(Data!U137&lt;=MEDIAN(Data!U$4:U$153),2,IF(Data!U137&lt;=QUARTILE(Data!U$4:U$153,3),3,4)))</f>
        <v>1</v>
      </c>
      <c r="V137" s="8">
        <f>IF(Data!V137&lt;=QUARTILE(Data!V$4:V$153,1),1,IF(Data!V137&lt;=MEDIAN(Data!V$4:V$153),2,IF(Data!V137&lt;=QUARTILE(Data!V$4:V$153,3),3,4)))</f>
        <v>1</v>
      </c>
      <c r="W137" s="8">
        <f>IF(Data!W137&lt;=QUARTILE(Data!W$4:W$153,1),1,IF(Data!W137&lt;=MEDIAN(Data!W$4:W$153),2,IF(Data!W137&lt;=QUARTILE(Data!W$4:W$153,3),3,4)))</f>
        <v>1</v>
      </c>
      <c r="X137" s="8">
        <f>IF(Data!X137&lt;=QUARTILE(Data!X$4:X$153,1),1,IF(Data!X137&lt;=MEDIAN(Data!X$4:X$153),2,IF(Data!X137&lt;=QUARTILE(Data!X$4:X$153,3),3,4)))</f>
        <v>1</v>
      </c>
      <c r="Y137" s="8">
        <f>IF(Data!Y137&lt;=QUARTILE(Data!Y$4:Y$153,1),1,IF(Data!Y137&lt;=MEDIAN(Data!Y$4:Y$153),2,IF(Data!Y137&lt;=QUARTILE(Data!Y$4:Y$153,3),3,4)))</f>
        <v>3</v>
      </c>
      <c r="Z137" s="8">
        <f>IF(Data!Z137&lt;=QUARTILE(Data!Z$4:Z$153,1),1,IF(Data!Z137&lt;=MEDIAN(Data!Z$4:Z$153),2,IF(Data!Z137&lt;=QUARTILE(Data!Z$4:Z$153,3),3,4)))</f>
        <v>3</v>
      </c>
      <c r="AA137" s="8">
        <f>IF(Data!AA137&lt;=QUARTILE(Data!AA$4:AA$153,1),1,IF(Data!AA137&lt;=MEDIAN(Data!AA$4:AA$153),2,IF(Data!AA137&lt;=QUARTILE(Data!AA$4:AA$153,3),3,4)))</f>
        <v>4</v>
      </c>
      <c r="AB137" s="8">
        <f>IF(Data!AB137&lt;=QUARTILE(Data!AB$4:AB$153,1),1,IF(Data!AB137&lt;=MEDIAN(Data!AB$4:AB$153),2,IF(Data!AB137&lt;=QUARTILE(Data!AB$4:AB$153,3),3,4)))</f>
        <v>1</v>
      </c>
      <c r="AC137" s="8">
        <f>IF(Data!AC137&lt;=QUARTILE(Data!AC$4:AC$153,1),1,IF(Data!AC137&lt;=MEDIAN(Data!AC$4:AC$153),2,IF(Data!AC137&lt;=QUARTILE(Data!AC$4:AC$153,3),3,4)))</f>
        <v>1</v>
      </c>
      <c r="AD137" s="8">
        <f>IF(Data!AD137&lt;=QUARTILE(Data!AD$4:AD$153,1),1,IF(Data!AD137&lt;=MEDIAN(Data!AD$4:AD$153),2,IF(Data!AD137&lt;=QUARTILE(Data!AD$4:AD$153,3),3,4)))</f>
        <v>3</v>
      </c>
      <c r="AE137" s="8">
        <f>IF(Data!AE137&lt;=QUARTILE(Data!AE$4:AE$153,1),1,IF(Data!AE137&lt;=MEDIAN(Data!AE$4:AE$153),2,IF(Data!AE137&lt;=QUARTILE(Data!AE$4:AE$153,3),3,4)))</f>
        <v>4</v>
      </c>
      <c r="AF137" s="8">
        <f>IF(Data!AF137&lt;=QUARTILE(Data!AF$4:AF$153,1),1,IF(Data!AF137&lt;=MEDIAN(Data!AF$4:AF$153),2,IF(Data!AF137&lt;=QUARTILE(Data!AF$4:AF$153,3),3,4)))</f>
        <v>4</v>
      </c>
      <c r="AG137" s="8">
        <f>IF(Data!AG137&lt;=QUARTILE(Data!AG$4:AG$153,1),1,IF(Data!AG137&lt;=MEDIAN(Data!AG$4:AG$153),2,IF(Data!AG137&lt;=QUARTILE(Data!AG$4:AG$153,3),3,4)))</f>
        <v>3</v>
      </c>
      <c r="AH137" s="9">
        <f>IF(Data!AH137&lt;=QUARTILE(Data!AH$4:AH$153,1),1,IF(Data!AH137&lt;=MEDIAN(Data!AH$4:AH$153),2,IF(Data!AH137&lt;=QUARTILE(Data!AH$4:AH$153,3),3,4)))</f>
        <v>1</v>
      </c>
    </row>
    <row r="138" spans="1:34" x14ac:dyDescent="0.25">
      <c r="A138" s="7" t="s">
        <v>54</v>
      </c>
      <c r="B138" s="14" t="s">
        <v>72</v>
      </c>
      <c r="C138" s="7">
        <v>59</v>
      </c>
      <c r="D138" s="8">
        <v>23</v>
      </c>
      <c r="E138" s="42" t="s">
        <v>58</v>
      </c>
      <c r="F138" s="9">
        <v>5.76</v>
      </c>
      <c r="G138" s="7">
        <f>IF(Data!G138&lt;=QUARTILE(Data!G$4:G$153,1),1,IF(Data!G138&lt;=MEDIAN(Data!G$4:G$153),2,IF(Data!G138&lt;=QUARTILE(Data!G$4:G$153,3),3,4)))</f>
        <v>4</v>
      </c>
      <c r="H138" s="8">
        <f>IF(Data!H138&lt;=QUARTILE(Data!H$4:H$153,1),1,IF(Data!H138&lt;=MEDIAN(Data!H$4:H$153),2,IF(Data!H138&lt;=QUARTILE(Data!H$4:H$153,3),3,4)))</f>
        <v>1</v>
      </c>
      <c r="I138" s="8">
        <f>IF(Data!I138&lt;=QUARTILE(Data!I$4:I$153,1),1,IF(Data!I138&lt;=MEDIAN(Data!I$4:I$153),2,IF(Data!I138&lt;=QUARTILE(Data!I$4:I$153,3),3,4)))</f>
        <v>2</v>
      </c>
      <c r="J138" s="8">
        <f>IF(Data!J138&lt;=QUARTILE(Data!J$4:J$153,1),1,IF(Data!J138&lt;=MEDIAN(Data!J$4:J$153),2,IF(Data!J138&lt;=QUARTILE(Data!J$4:J$153,3),3,4)))</f>
        <v>2</v>
      </c>
      <c r="K138" s="8">
        <f>IF(Data!K138&lt;=QUARTILE(Data!K$4:K$153,1),1,IF(Data!K138&lt;=MEDIAN(Data!K$4:K$153),2,IF(Data!K138&lt;=QUARTILE(Data!K$4:K$153,3),3,4)))</f>
        <v>3</v>
      </c>
      <c r="L138" s="8">
        <f>IF(Data!L138&lt;=QUARTILE(Data!L$4:L$153,1),1,IF(Data!L138&lt;=MEDIAN(Data!L$4:L$153),2,IF(Data!L138&lt;=QUARTILE(Data!L$4:L$153,3),3,4)))</f>
        <v>4</v>
      </c>
      <c r="M138" s="8">
        <f>IF(Data!M138&lt;=QUARTILE(Data!M$4:M$153,1),1,IF(Data!M138&lt;=MEDIAN(Data!M$4:M$153),2,IF(Data!M138&lt;=QUARTILE(Data!M$4:M$153,3),3,4)))</f>
        <v>2</v>
      </c>
      <c r="N138" s="8">
        <f>IF(Data!N138&lt;=QUARTILE(Data!N$4:N$153,1),1,IF(Data!N138&lt;=MEDIAN(Data!N$4:N$153),2,IF(Data!N138&lt;=QUARTILE(Data!N$4:N$153,3),3,4)))</f>
        <v>4</v>
      </c>
      <c r="O138" s="8">
        <f>IF(Data!O138&lt;=QUARTILE(Data!O$4:O$153,1),1,IF(Data!O138&lt;=MEDIAN(Data!O$4:O$153),2,IF(Data!O138&lt;=QUARTILE(Data!O$4:O$153,3),3,4)))</f>
        <v>3</v>
      </c>
      <c r="P138" s="8">
        <f>IF(Data!P138&lt;=QUARTILE(Data!P$4:P$153,1),1,IF(Data!P138&lt;=MEDIAN(Data!P$4:P$153),2,IF(Data!P138&lt;=QUARTILE(Data!P$4:P$153,3),3,4)))</f>
        <v>1</v>
      </c>
      <c r="Q138" s="8">
        <f>IF(Data!Q138&lt;=QUARTILE(Data!Q$4:Q$153,1),1,IF(Data!Q138&lt;=MEDIAN(Data!Q$4:Q$153),2,IF(Data!Q138&lt;=QUARTILE(Data!Q$4:Q$153,3),3,4)))</f>
        <v>4</v>
      </c>
      <c r="R138" s="8">
        <f>IF(Data!R138&lt;=QUARTILE(Data!R$4:R$153,1),1,IF(Data!R138&lt;=MEDIAN(Data!R$4:R$153),2,IF(Data!R138&lt;=QUARTILE(Data!R$4:R$153,3),3,4)))</f>
        <v>1</v>
      </c>
      <c r="S138" s="8">
        <f>IF(Data!S138&lt;=QUARTILE(Data!S$4:S$153,1),1,IF(Data!S138&lt;=MEDIAN(Data!S$4:S$153),2,IF(Data!S138&lt;=QUARTILE(Data!S$4:S$153,3),3,4)))</f>
        <v>3</v>
      </c>
      <c r="T138" s="9">
        <f>IF(Data!T138&lt;=QUARTILE(Data!T$4:T$153,1),1,IF(Data!T138&lt;=MEDIAN(Data!T$4:T$153),2,IF(Data!T138&lt;=QUARTILE(Data!T$4:T$153,3),3,4)))</f>
        <v>4</v>
      </c>
      <c r="U138" s="7">
        <f>IF(Data!U138&lt;=QUARTILE(Data!U$4:U$153,1),1,IF(Data!U138&lt;=MEDIAN(Data!U$4:U$153),2,IF(Data!U138&lt;=QUARTILE(Data!U$4:U$153,3),3,4)))</f>
        <v>1</v>
      </c>
      <c r="V138" s="8">
        <f>IF(Data!V138&lt;=QUARTILE(Data!V$4:V$153,1),1,IF(Data!V138&lt;=MEDIAN(Data!V$4:V$153),2,IF(Data!V138&lt;=QUARTILE(Data!V$4:V$153,3),3,4)))</f>
        <v>3</v>
      </c>
      <c r="W138" s="8">
        <f>IF(Data!W138&lt;=QUARTILE(Data!W$4:W$153,1),1,IF(Data!W138&lt;=MEDIAN(Data!W$4:W$153),2,IF(Data!W138&lt;=QUARTILE(Data!W$4:W$153,3),3,4)))</f>
        <v>1</v>
      </c>
      <c r="X138" s="8">
        <f>IF(Data!X138&lt;=QUARTILE(Data!X$4:X$153,1),1,IF(Data!X138&lt;=MEDIAN(Data!X$4:X$153),2,IF(Data!X138&lt;=QUARTILE(Data!X$4:X$153,3),3,4)))</f>
        <v>1</v>
      </c>
      <c r="Y138" s="8">
        <f>IF(Data!Y138&lt;=QUARTILE(Data!Y$4:Y$153,1),1,IF(Data!Y138&lt;=MEDIAN(Data!Y$4:Y$153),2,IF(Data!Y138&lt;=QUARTILE(Data!Y$4:Y$153,3),3,4)))</f>
        <v>3</v>
      </c>
      <c r="Z138" s="8">
        <f>IF(Data!Z138&lt;=QUARTILE(Data!Z$4:Z$153,1),1,IF(Data!Z138&lt;=MEDIAN(Data!Z$4:Z$153),2,IF(Data!Z138&lt;=QUARTILE(Data!Z$4:Z$153,3),3,4)))</f>
        <v>3</v>
      </c>
      <c r="AA138" s="8">
        <f>IF(Data!AA138&lt;=QUARTILE(Data!AA$4:AA$153,1),1,IF(Data!AA138&lt;=MEDIAN(Data!AA$4:AA$153),2,IF(Data!AA138&lt;=QUARTILE(Data!AA$4:AA$153,3),3,4)))</f>
        <v>2</v>
      </c>
      <c r="AB138" s="8">
        <f>IF(Data!AB138&lt;=QUARTILE(Data!AB$4:AB$153,1),1,IF(Data!AB138&lt;=MEDIAN(Data!AB$4:AB$153),2,IF(Data!AB138&lt;=QUARTILE(Data!AB$4:AB$153,3),3,4)))</f>
        <v>1</v>
      </c>
      <c r="AC138" s="8">
        <f>IF(Data!AC138&lt;=QUARTILE(Data!AC$4:AC$153,1),1,IF(Data!AC138&lt;=MEDIAN(Data!AC$4:AC$153),2,IF(Data!AC138&lt;=QUARTILE(Data!AC$4:AC$153,3),3,4)))</f>
        <v>1</v>
      </c>
      <c r="AD138" s="8">
        <f>IF(Data!AD138&lt;=QUARTILE(Data!AD$4:AD$153,1),1,IF(Data!AD138&lt;=MEDIAN(Data!AD$4:AD$153),2,IF(Data!AD138&lt;=QUARTILE(Data!AD$4:AD$153,3),3,4)))</f>
        <v>3</v>
      </c>
      <c r="AE138" s="8">
        <f>IF(Data!AE138&lt;=QUARTILE(Data!AE$4:AE$153,1),1,IF(Data!AE138&lt;=MEDIAN(Data!AE$4:AE$153),2,IF(Data!AE138&lt;=QUARTILE(Data!AE$4:AE$153,3),3,4)))</f>
        <v>1</v>
      </c>
      <c r="AF138" s="8">
        <f>IF(Data!AF138&lt;=QUARTILE(Data!AF$4:AF$153,1),1,IF(Data!AF138&lt;=MEDIAN(Data!AF$4:AF$153),2,IF(Data!AF138&lt;=QUARTILE(Data!AF$4:AF$153,3),3,4)))</f>
        <v>1</v>
      </c>
      <c r="AG138" s="8">
        <f>IF(Data!AG138&lt;=QUARTILE(Data!AG$4:AG$153,1),1,IF(Data!AG138&lt;=MEDIAN(Data!AG$4:AG$153),2,IF(Data!AG138&lt;=QUARTILE(Data!AG$4:AG$153,3),3,4)))</f>
        <v>4</v>
      </c>
      <c r="AH138" s="9">
        <f>IF(Data!AH138&lt;=QUARTILE(Data!AH$4:AH$153,1),1,IF(Data!AH138&lt;=MEDIAN(Data!AH$4:AH$153),2,IF(Data!AH138&lt;=QUARTILE(Data!AH$4:AH$153,3),3,4)))</f>
        <v>1</v>
      </c>
    </row>
    <row r="139" spans="1:34" x14ac:dyDescent="0.25">
      <c r="A139" s="7" t="s">
        <v>21</v>
      </c>
      <c r="B139" s="14" t="s">
        <v>72</v>
      </c>
      <c r="C139" s="7">
        <v>30</v>
      </c>
      <c r="D139" s="8">
        <v>52</v>
      </c>
      <c r="E139" s="42" t="s">
        <v>59</v>
      </c>
      <c r="F139" s="9">
        <v>-3.09</v>
      </c>
      <c r="G139" s="7">
        <f>IF(Data!G139&lt;=QUARTILE(Data!G$4:G$153,1),1,IF(Data!G139&lt;=MEDIAN(Data!G$4:G$153),2,IF(Data!G139&lt;=QUARTILE(Data!G$4:G$153,3),3,4)))</f>
        <v>2</v>
      </c>
      <c r="H139" s="8">
        <f>IF(Data!H139&lt;=QUARTILE(Data!H$4:H$153,1),1,IF(Data!H139&lt;=MEDIAN(Data!H$4:H$153),2,IF(Data!H139&lt;=QUARTILE(Data!H$4:H$153,3),3,4)))</f>
        <v>3</v>
      </c>
      <c r="I139" s="8">
        <f>IF(Data!I139&lt;=QUARTILE(Data!I$4:I$153,1),1,IF(Data!I139&lt;=MEDIAN(Data!I$4:I$153),2,IF(Data!I139&lt;=QUARTILE(Data!I$4:I$153,3),3,4)))</f>
        <v>1</v>
      </c>
      <c r="J139" s="8">
        <f>IF(Data!J139&lt;=QUARTILE(Data!J$4:J$153,1),1,IF(Data!J139&lt;=MEDIAN(Data!J$4:J$153),2,IF(Data!J139&lt;=QUARTILE(Data!J$4:J$153,3),3,4)))</f>
        <v>1</v>
      </c>
      <c r="K139" s="8">
        <f>IF(Data!K139&lt;=QUARTILE(Data!K$4:K$153,1),1,IF(Data!K139&lt;=MEDIAN(Data!K$4:K$153),2,IF(Data!K139&lt;=QUARTILE(Data!K$4:K$153,3),3,4)))</f>
        <v>4</v>
      </c>
      <c r="L139" s="8">
        <f>IF(Data!L139&lt;=QUARTILE(Data!L$4:L$153,1),1,IF(Data!L139&lt;=MEDIAN(Data!L$4:L$153),2,IF(Data!L139&lt;=QUARTILE(Data!L$4:L$153,3),3,4)))</f>
        <v>4</v>
      </c>
      <c r="M139" s="8">
        <f>IF(Data!M139&lt;=QUARTILE(Data!M$4:M$153,1),1,IF(Data!M139&lt;=MEDIAN(Data!M$4:M$153),2,IF(Data!M139&lt;=QUARTILE(Data!M$4:M$153,3),3,4)))</f>
        <v>3</v>
      </c>
      <c r="N139" s="8">
        <f>IF(Data!N139&lt;=QUARTILE(Data!N$4:N$153,1),1,IF(Data!N139&lt;=MEDIAN(Data!N$4:N$153),2,IF(Data!N139&lt;=QUARTILE(Data!N$4:N$153,3),3,4)))</f>
        <v>2</v>
      </c>
      <c r="O139" s="8">
        <f>IF(Data!O139&lt;=QUARTILE(Data!O$4:O$153,1),1,IF(Data!O139&lt;=MEDIAN(Data!O$4:O$153),2,IF(Data!O139&lt;=QUARTILE(Data!O$4:O$153,3),3,4)))</f>
        <v>2</v>
      </c>
      <c r="P139" s="8">
        <f>IF(Data!P139&lt;=QUARTILE(Data!P$4:P$153,1),1,IF(Data!P139&lt;=MEDIAN(Data!P$4:P$153),2,IF(Data!P139&lt;=QUARTILE(Data!P$4:P$153,3),3,4)))</f>
        <v>1</v>
      </c>
      <c r="Q139" s="8">
        <f>IF(Data!Q139&lt;=QUARTILE(Data!Q$4:Q$153,1),1,IF(Data!Q139&lt;=MEDIAN(Data!Q$4:Q$153),2,IF(Data!Q139&lt;=QUARTILE(Data!Q$4:Q$153,3),3,4)))</f>
        <v>1</v>
      </c>
      <c r="R139" s="8">
        <f>IF(Data!R139&lt;=QUARTILE(Data!R$4:R$153,1),1,IF(Data!R139&lt;=MEDIAN(Data!R$4:R$153),2,IF(Data!R139&lt;=QUARTILE(Data!R$4:R$153,3),3,4)))</f>
        <v>2</v>
      </c>
      <c r="S139" s="8">
        <f>IF(Data!S139&lt;=QUARTILE(Data!S$4:S$153,1),1,IF(Data!S139&lt;=MEDIAN(Data!S$4:S$153),2,IF(Data!S139&lt;=QUARTILE(Data!S$4:S$153,3),3,4)))</f>
        <v>2</v>
      </c>
      <c r="T139" s="9">
        <f>IF(Data!T139&lt;=QUARTILE(Data!T$4:T$153,1),1,IF(Data!T139&lt;=MEDIAN(Data!T$4:T$153),2,IF(Data!T139&lt;=QUARTILE(Data!T$4:T$153,3),3,4)))</f>
        <v>2</v>
      </c>
      <c r="U139" s="7">
        <f>IF(Data!U139&lt;=QUARTILE(Data!U$4:U$153,1),1,IF(Data!U139&lt;=MEDIAN(Data!U$4:U$153),2,IF(Data!U139&lt;=QUARTILE(Data!U$4:U$153,3),3,4)))</f>
        <v>3</v>
      </c>
      <c r="V139" s="8">
        <f>IF(Data!V139&lt;=QUARTILE(Data!V$4:V$153,1),1,IF(Data!V139&lt;=MEDIAN(Data!V$4:V$153),2,IF(Data!V139&lt;=QUARTILE(Data!V$4:V$153,3),3,4)))</f>
        <v>3</v>
      </c>
      <c r="W139" s="8">
        <f>IF(Data!W139&lt;=QUARTILE(Data!W$4:W$153,1),1,IF(Data!W139&lt;=MEDIAN(Data!W$4:W$153),2,IF(Data!W139&lt;=QUARTILE(Data!W$4:W$153,3),3,4)))</f>
        <v>2</v>
      </c>
      <c r="X139" s="8">
        <f>IF(Data!X139&lt;=QUARTILE(Data!X$4:X$153,1),1,IF(Data!X139&lt;=MEDIAN(Data!X$4:X$153),2,IF(Data!X139&lt;=QUARTILE(Data!X$4:X$153,3),3,4)))</f>
        <v>2</v>
      </c>
      <c r="Y139" s="8">
        <f>IF(Data!Y139&lt;=QUARTILE(Data!Y$4:Y$153,1),1,IF(Data!Y139&lt;=MEDIAN(Data!Y$4:Y$153),2,IF(Data!Y139&lt;=QUARTILE(Data!Y$4:Y$153,3),3,4)))</f>
        <v>2</v>
      </c>
      <c r="Z139" s="8">
        <f>IF(Data!Z139&lt;=QUARTILE(Data!Z$4:Z$153,1),1,IF(Data!Z139&lt;=MEDIAN(Data!Z$4:Z$153),2,IF(Data!Z139&lt;=QUARTILE(Data!Z$4:Z$153,3),3,4)))</f>
        <v>2</v>
      </c>
      <c r="AA139" s="8">
        <f>IF(Data!AA139&lt;=QUARTILE(Data!AA$4:AA$153,1),1,IF(Data!AA139&lt;=MEDIAN(Data!AA$4:AA$153),2,IF(Data!AA139&lt;=QUARTILE(Data!AA$4:AA$153,3),3,4)))</f>
        <v>3</v>
      </c>
      <c r="AB139" s="8">
        <f>IF(Data!AB139&lt;=QUARTILE(Data!AB$4:AB$153,1),1,IF(Data!AB139&lt;=MEDIAN(Data!AB$4:AB$153),2,IF(Data!AB139&lt;=QUARTILE(Data!AB$4:AB$153,3),3,4)))</f>
        <v>2</v>
      </c>
      <c r="AC139" s="8">
        <f>IF(Data!AC139&lt;=QUARTILE(Data!AC$4:AC$153,1),1,IF(Data!AC139&lt;=MEDIAN(Data!AC$4:AC$153),2,IF(Data!AC139&lt;=QUARTILE(Data!AC$4:AC$153,3),3,4)))</f>
        <v>4</v>
      </c>
      <c r="AD139" s="8">
        <f>IF(Data!AD139&lt;=QUARTILE(Data!AD$4:AD$153,1),1,IF(Data!AD139&lt;=MEDIAN(Data!AD$4:AD$153),2,IF(Data!AD139&lt;=QUARTILE(Data!AD$4:AD$153,3),3,4)))</f>
        <v>3</v>
      </c>
      <c r="AE139" s="8">
        <f>IF(Data!AE139&lt;=QUARTILE(Data!AE$4:AE$153,1),1,IF(Data!AE139&lt;=MEDIAN(Data!AE$4:AE$153),2,IF(Data!AE139&lt;=QUARTILE(Data!AE$4:AE$153,3),3,4)))</f>
        <v>2</v>
      </c>
      <c r="AF139" s="8">
        <f>IF(Data!AF139&lt;=QUARTILE(Data!AF$4:AF$153,1),1,IF(Data!AF139&lt;=MEDIAN(Data!AF$4:AF$153),2,IF(Data!AF139&lt;=QUARTILE(Data!AF$4:AF$153,3),3,4)))</f>
        <v>1</v>
      </c>
      <c r="AG139" s="8">
        <f>IF(Data!AG139&lt;=QUARTILE(Data!AG$4:AG$153,1),1,IF(Data!AG139&lt;=MEDIAN(Data!AG$4:AG$153),2,IF(Data!AG139&lt;=QUARTILE(Data!AG$4:AG$153,3),3,4)))</f>
        <v>4</v>
      </c>
      <c r="AH139" s="9">
        <f>IF(Data!AH139&lt;=QUARTILE(Data!AH$4:AH$153,1),1,IF(Data!AH139&lt;=MEDIAN(Data!AH$4:AH$153),2,IF(Data!AH139&lt;=QUARTILE(Data!AH$4:AH$153,3),3,4)))</f>
        <v>3</v>
      </c>
    </row>
    <row r="140" spans="1:34" x14ac:dyDescent="0.25">
      <c r="A140" s="7" t="s">
        <v>24</v>
      </c>
      <c r="B140" s="14" t="s">
        <v>72</v>
      </c>
      <c r="C140" s="7">
        <v>44</v>
      </c>
      <c r="D140" s="8">
        <v>38</v>
      </c>
      <c r="E140" s="42" t="s">
        <v>59</v>
      </c>
      <c r="F140" s="9">
        <v>1.73</v>
      </c>
      <c r="G140" s="7">
        <f>IF(Data!G140&lt;=QUARTILE(Data!G$4:G$153,1),1,IF(Data!G140&lt;=MEDIAN(Data!G$4:G$153),2,IF(Data!G140&lt;=QUARTILE(Data!G$4:G$153,3),3,4)))</f>
        <v>3</v>
      </c>
      <c r="H140" s="8">
        <f>IF(Data!H140&lt;=QUARTILE(Data!H$4:H$153,1),1,IF(Data!H140&lt;=MEDIAN(Data!H$4:H$153),2,IF(Data!H140&lt;=QUARTILE(Data!H$4:H$153,3),3,4)))</f>
        <v>3</v>
      </c>
      <c r="I140" s="8">
        <f>IF(Data!I140&lt;=QUARTILE(Data!I$4:I$153,1),1,IF(Data!I140&lt;=MEDIAN(Data!I$4:I$153),2,IF(Data!I140&lt;=QUARTILE(Data!I$4:I$153,3),3,4)))</f>
        <v>1</v>
      </c>
      <c r="J140" s="8">
        <f>IF(Data!J140&lt;=QUARTILE(Data!J$4:J$153,1),1,IF(Data!J140&lt;=MEDIAN(Data!J$4:J$153),2,IF(Data!J140&lt;=QUARTILE(Data!J$4:J$153,3),3,4)))</f>
        <v>1</v>
      </c>
      <c r="K140" s="8">
        <f>IF(Data!K140&lt;=QUARTILE(Data!K$4:K$153,1),1,IF(Data!K140&lt;=MEDIAN(Data!K$4:K$153),2,IF(Data!K140&lt;=QUARTILE(Data!K$4:K$153,3),3,4)))</f>
        <v>1</v>
      </c>
      <c r="L140" s="8">
        <f>IF(Data!L140&lt;=QUARTILE(Data!L$4:L$153,1),1,IF(Data!L140&lt;=MEDIAN(Data!L$4:L$153),2,IF(Data!L140&lt;=QUARTILE(Data!L$4:L$153,3),3,4)))</f>
        <v>1</v>
      </c>
      <c r="M140" s="8">
        <f>IF(Data!M140&lt;=QUARTILE(Data!M$4:M$153,1),1,IF(Data!M140&lt;=MEDIAN(Data!M$4:M$153),2,IF(Data!M140&lt;=QUARTILE(Data!M$4:M$153,3),3,4)))</f>
        <v>3</v>
      </c>
      <c r="N140" s="8">
        <f>IF(Data!N140&lt;=QUARTILE(Data!N$4:N$153,1),1,IF(Data!N140&lt;=MEDIAN(Data!N$4:N$153),2,IF(Data!N140&lt;=QUARTILE(Data!N$4:N$153,3),3,4)))</f>
        <v>4</v>
      </c>
      <c r="O140" s="8">
        <f>IF(Data!O140&lt;=QUARTILE(Data!O$4:O$153,1),1,IF(Data!O140&lt;=MEDIAN(Data!O$4:O$153),2,IF(Data!O140&lt;=QUARTILE(Data!O$4:O$153,3),3,4)))</f>
        <v>4</v>
      </c>
      <c r="P140" s="8">
        <f>IF(Data!P140&lt;=QUARTILE(Data!P$4:P$153,1),1,IF(Data!P140&lt;=MEDIAN(Data!P$4:P$153),2,IF(Data!P140&lt;=QUARTILE(Data!P$4:P$153,3),3,4)))</f>
        <v>1</v>
      </c>
      <c r="Q140" s="8">
        <f>IF(Data!Q140&lt;=QUARTILE(Data!Q$4:Q$153,1),1,IF(Data!Q140&lt;=MEDIAN(Data!Q$4:Q$153),2,IF(Data!Q140&lt;=QUARTILE(Data!Q$4:Q$153,3),3,4)))</f>
        <v>4</v>
      </c>
      <c r="R140" s="8">
        <f>IF(Data!R140&lt;=QUARTILE(Data!R$4:R$153,1),1,IF(Data!R140&lt;=MEDIAN(Data!R$4:R$153),2,IF(Data!R140&lt;=QUARTILE(Data!R$4:R$153,3),3,4)))</f>
        <v>1</v>
      </c>
      <c r="S140" s="8">
        <f>IF(Data!S140&lt;=QUARTILE(Data!S$4:S$153,1),1,IF(Data!S140&lt;=MEDIAN(Data!S$4:S$153),2,IF(Data!S140&lt;=QUARTILE(Data!S$4:S$153,3),3,4)))</f>
        <v>2</v>
      </c>
      <c r="T140" s="9">
        <f>IF(Data!T140&lt;=QUARTILE(Data!T$4:T$153,1),1,IF(Data!T140&lt;=MEDIAN(Data!T$4:T$153),2,IF(Data!T140&lt;=QUARTILE(Data!T$4:T$153,3),3,4)))</f>
        <v>2</v>
      </c>
      <c r="U140" s="7">
        <f>IF(Data!U140&lt;=QUARTILE(Data!U$4:U$153,1),1,IF(Data!U140&lt;=MEDIAN(Data!U$4:U$153),2,IF(Data!U140&lt;=QUARTILE(Data!U$4:U$153,3),3,4)))</f>
        <v>2</v>
      </c>
      <c r="V140" s="8">
        <f>IF(Data!V140&lt;=QUARTILE(Data!V$4:V$153,1),1,IF(Data!V140&lt;=MEDIAN(Data!V$4:V$153),2,IF(Data!V140&lt;=QUARTILE(Data!V$4:V$153,3),3,4)))</f>
        <v>4</v>
      </c>
      <c r="W140" s="8">
        <f>IF(Data!W140&lt;=QUARTILE(Data!W$4:W$153,1),1,IF(Data!W140&lt;=MEDIAN(Data!W$4:W$153),2,IF(Data!W140&lt;=QUARTILE(Data!W$4:W$153,3),3,4)))</f>
        <v>2</v>
      </c>
      <c r="X140" s="8">
        <f>IF(Data!X140&lt;=QUARTILE(Data!X$4:X$153,1),1,IF(Data!X140&lt;=MEDIAN(Data!X$4:X$153),2,IF(Data!X140&lt;=QUARTILE(Data!X$4:X$153,3),3,4)))</f>
        <v>1</v>
      </c>
      <c r="Y140" s="8">
        <f>IF(Data!Y140&lt;=QUARTILE(Data!Y$4:Y$153,1),1,IF(Data!Y140&lt;=MEDIAN(Data!Y$4:Y$153),2,IF(Data!Y140&lt;=QUARTILE(Data!Y$4:Y$153,3),3,4)))</f>
        <v>1</v>
      </c>
      <c r="Z140" s="8">
        <f>IF(Data!Z140&lt;=QUARTILE(Data!Z$4:Z$153,1),1,IF(Data!Z140&lt;=MEDIAN(Data!Z$4:Z$153),2,IF(Data!Z140&lt;=QUARTILE(Data!Z$4:Z$153,3),3,4)))</f>
        <v>1</v>
      </c>
      <c r="AA140" s="8">
        <f>IF(Data!AA140&lt;=QUARTILE(Data!AA$4:AA$153,1),1,IF(Data!AA140&lt;=MEDIAN(Data!AA$4:AA$153),2,IF(Data!AA140&lt;=QUARTILE(Data!AA$4:AA$153,3),3,4)))</f>
        <v>4</v>
      </c>
      <c r="AB140" s="8">
        <f>IF(Data!AB140&lt;=QUARTILE(Data!AB$4:AB$153,1),1,IF(Data!AB140&lt;=MEDIAN(Data!AB$4:AB$153),2,IF(Data!AB140&lt;=QUARTILE(Data!AB$4:AB$153,3),3,4)))</f>
        <v>1</v>
      </c>
      <c r="AC140" s="8">
        <f>IF(Data!AC140&lt;=QUARTILE(Data!AC$4:AC$153,1),1,IF(Data!AC140&lt;=MEDIAN(Data!AC$4:AC$153),2,IF(Data!AC140&lt;=QUARTILE(Data!AC$4:AC$153,3),3,4)))</f>
        <v>3</v>
      </c>
      <c r="AD140" s="8">
        <f>IF(Data!AD140&lt;=QUARTILE(Data!AD$4:AD$153,1),1,IF(Data!AD140&lt;=MEDIAN(Data!AD$4:AD$153),2,IF(Data!AD140&lt;=QUARTILE(Data!AD$4:AD$153,3),3,4)))</f>
        <v>1</v>
      </c>
      <c r="AE140" s="8">
        <f>IF(Data!AE140&lt;=QUARTILE(Data!AE$4:AE$153,1),1,IF(Data!AE140&lt;=MEDIAN(Data!AE$4:AE$153),2,IF(Data!AE140&lt;=QUARTILE(Data!AE$4:AE$153,3),3,4)))</f>
        <v>1</v>
      </c>
      <c r="AF140" s="8">
        <f>IF(Data!AF140&lt;=QUARTILE(Data!AF$4:AF$153,1),1,IF(Data!AF140&lt;=MEDIAN(Data!AF$4:AF$153),2,IF(Data!AF140&lt;=QUARTILE(Data!AF$4:AF$153,3),3,4)))</f>
        <v>1</v>
      </c>
      <c r="AG140" s="8">
        <f>IF(Data!AG140&lt;=QUARTILE(Data!AG$4:AG$153,1),1,IF(Data!AG140&lt;=MEDIAN(Data!AG$4:AG$153),2,IF(Data!AG140&lt;=QUARTILE(Data!AG$4:AG$153,3),3,4)))</f>
        <v>1</v>
      </c>
      <c r="AH140" s="9">
        <f>IF(Data!AH140&lt;=QUARTILE(Data!AH$4:AH$153,1),1,IF(Data!AH140&lt;=MEDIAN(Data!AH$4:AH$153),2,IF(Data!AH140&lt;=QUARTILE(Data!AH$4:AH$153,3),3,4)))</f>
        <v>1</v>
      </c>
    </row>
    <row r="141" spans="1:34" x14ac:dyDescent="0.25">
      <c r="A141" s="7" t="s">
        <v>23</v>
      </c>
      <c r="B141" s="14" t="s">
        <v>72</v>
      </c>
      <c r="C141" s="7">
        <v>42</v>
      </c>
      <c r="D141" s="8">
        <v>40</v>
      </c>
      <c r="E141" s="42" t="s">
        <v>58</v>
      </c>
      <c r="F141" s="9">
        <v>-1.82</v>
      </c>
      <c r="G141" s="7">
        <f>IF(Data!G141&lt;=QUARTILE(Data!G$4:G$153,1),1,IF(Data!G141&lt;=MEDIAN(Data!G$4:G$153),2,IF(Data!G141&lt;=QUARTILE(Data!G$4:G$153,3),3,4)))</f>
        <v>1</v>
      </c>
      <c r="H141" s="8">
        <f>IF(Data!H141&lt;=QUARTILE(Data!H$4:H$153,1),1,IF(Data!H141&lt;=MEDIAN(Data!H$4:H$153),2,IF(Data!H141&lt;=QUARTILE(Data!H$4:H$153,3),3,4)))</f>
        <v>1</v>
      </c>
      <c r="I141" s="8">
        <f>IF(Data!I141&lt;=QUARTILE(Data!I$4:I$153,1),1,IF(Data!I141&lt;=MEDIAN(Data!I$4:I$153),2,IF(Data!I141&lt;=QUARTILE(Data!I$4:I$153,3),3,4)))</f>
        <v>2</v>
      </c>
      <c r="J141" s="8">
        <f>IF(Data!J141&lt;=QUARTILE(Data!J$4:J$153,1),1,IF(Data!J141&lt;=MEDIAN(Data!J$4:J$153),2,IF(Data!J141&lt;=QUARTILE(Data!J$4:J$153,3),3,4)))</f>
        <v>2</v>
      </c>
      <c r="K141" s="8">
        <f>IF(Data!K141&lt;=QUARTILE(Data!K$4:K$153,1),1,IF(Data!K141&lt;=MEDIAN(Data!K$4:K$153),2,IF(Data!K141&lt;=QUARTILE(Data!K$4:K$153,3),3,4)))</f>
        <v>2</v>
      </c>
      <c r="L141" s="8">
        <f>IF(Data!L141&lt;=QUARTILE(Data!L$4:L$153,1),1,IF(Data!L141&lt;=MEDIAN(Data!L$4:L$153),2,IF(Data!L141&lt;=QUARTILE(Data!L$4:L$153,3),3,4)))</f>
        <v>2</v>
      </c>
      <c r="M141" s="8">
        <f>IF(Data!M141&lt;=QUARTILE(Data!M$4:M$153,1),1,IF(Data!M141&lt;=MEDIAN(Data!M$4:M$153),2,IF(Data!M141&lt;=QUARTILE(Data!M$4:M$153,3),3,4)))</f>
        <v>1</v>
      </c>
      <c r="N141" s="8">
        <f>IF(Data!N141&lt;=QUARTILE(Data!N$4:N$153,1),1,IF(Data!N141&lt;=MEDIAN(Data!N$4:N$153),2,IF(Data!N141&lt;=QUARTILE(Data!N$4:N$153,3),3,4)))</f>
        <v>2</v>
      </c>
      <c r="O141" s="8">
        <f>IF(Data!O141&lt;=QUARTILE(Data!O$4:O$153,1),1,IF(Data!O141&lt;=MEDIAN(Data!O$4:O$153),2,IF(Data!O141&lt;=QUARTILE(Data!O$4:O$153,3),3,4)))</f>
        <v>3</v>
      </c>
      <c r="P141" s="8">
        <f>IF(Data!P141&lt;=QUARTILE(Data!P$4:P$153,1),1,IF(Data!P141&lt;=MEDIAN(Data!P$4:P$153),2,IF(Data!P141&lt;=QUARTILE(Data!P$4:P$153,3),3,4)))</f>
        <v>4</v>
      </c>
      <c r="Q141" s="8">
        <f>IF(Data!Q141&lt;=QUARTILE(Data!Q$4:Q$153,1),1,IF(Data!Q141&lt;=MEDIAN(Data!Q$4:Q$153),2,IF(Data!Q141&lt;=QUARTILE(Data!Q$4:Q$153,3),3,4)))</f>
        <v>1</v>
      </c>
      <c r="R141" s="8">
        <f>IF(Data!R141&lt;=QUARTILE(Data!R$4:R$153,1),1,IF(Data!R141&lt;=MEDIAN(Data!R$4:R$153),2,IF(Data!R141&lt;=QUARTILE(Data!R$4:R$153,3),3,4)))</f>
        <v>2</v>
      </c>
      <c r="S141" s="8">
        <f>IF(Data!S141&lt;=QUARTILE(Data!S$4:S$153,1),1,IF(Data!S141&lt;=MEDIAN(Data!S$4:S$153),2,IF(Data!S141&lt;=QUARTILE(Data!S$4:S$153,3),3,4)))</f>
        <v>4</v>
      </c>
      <c r="T141" s="9">
        <f>IF(Data!T141&lt;=QUARTILE(Data!T$4:T$153,1),1,IF(Data!T141&lt;=MEDIAN(Data!T$4:T$153),2,IF(Data!T141&lt;=QUARTILE(Data!T$4:T$153,3),3,4)))</f>
        <v>1</v>
      </c>
      <c r="U141" s="7">
        <f>IF(Data!U141&lt;=QUARTILE(Data!U$4:U$153,1),1,IF(Data!U141&lt;=MEDIAN(Data!U$4:U$153),2,IF(Data!U141&lt;=QUARTILE(Data!U$4:U$153,3),3,4)))</f>
        <v>1</v>
      </c>
      <c r="V141" s="8">
        <f>IF(Data!V141&lt;=QUARTILE(Data!V$4:V$153,1),1,IF(Data!V141&lt;=MEDIAN(Data!V$4:V$153),2,IF(Data!V141&lt;=QUARTILE(Data!V$4:V$153,3),3,4)))</f>
        <v>1</v>
      </c>
      <c r="W141" s="8">
        <f>IF(Data!W141&lt;=QUARTILE(Data!W$4:W$153,1),1,IF(Data!W141&lt;=MEDIAN(Data!W$4:W$153),2,IF(Data!W141&lt;=QUARTILE(Data!W$4:W$153,3),3,4)))</f>
        <v>2</v>
      </c>
      <c r="X141" s="8">
        <f>IF(Data!X141&lt;=QUARTILE(Data!X$4:X$153,1),1,IF(Data!X141&lt;=MEDIAN(Data!X$4:X$153),2,IF(Data!X141&lt;=QUARTILE(Data!X$4:X$153,3),3,4)))</f>
        <v>2</v>
      </c>
      <c r="Y141" s="8">
        <f>IF(Data!Y141&lt;=QUARTILE(Data!Y$4:Y$153,1),1,IF(Data!Y141&lt;=MEDIAN(Data!Y$4:Y$153),2,IF(Data!Y141&lt;=QUARTILE(Data!Y$4:Y$153,3),3,4)))</f>
        <v>4</v>
      </c>
      <c r="Z141" s="8">
        <f>IF(Data!Z141&lt;=QUARTILE(Data!Z$4:Z$153,1),1,IF(Data!Z141&lt;=MEDIAN(Data!Z$4:Z$153),2,IF(Data!Z141&lt;=QUARTILE(Data!Z$4:Z$153,3),3,4)))</f>
        <v>4</v>
      </c>
      <c r="AA141" s="8">
        <f>IF(Data!AA141&lt;=QUARTILE(Data!AA$4:AA$153,1),1,IF(Data!AA141&lt;=MEDIAN(Data!AA$4:AA$153),2,IF(Data!AA141&lt;=QUARTILE(Data!AA$4:AA$153,3),3,4)))</f>
        <v>2</v>
      </c>
      <c r="AB141" s="8">
        <f>IF(Data!AB141&lt;=QUARTILE(Data!AB$4:AB$153,1),1,IF(Data!AB141&lt;=MEDIAN(Data!AB$4:AB$153),2,IF(Data!AB141&lt;=QUARTILE(Data!AB$4:AB$153,3),3,4)))</f>
        <v>3</v>
      </c>
      <c r="AC141" s="8">
        <f>IF(Data!AC141&lt;=QUARTILE(Data!AC$4:AC$153,1),1,IF(Data!AC141&lt;=MEDIAN(Data!AC$4:AC$153),2,IF(Data!AC141&lt;=QUARTILE(Data!AC$4:AC$153,3),3,4)))</f>
        <v>2</v>
      </c>
      <c r="AD141" s="8">
        <f>IF(Data!AD141&lt;=QUARTILE(Data!AD$4:AD$153,1),1,IF(Data!AD141&lt;=MEDIAN(Data!AD$4:AD$153),2,IF(Data!AD141&lt;=QUARTILE(Data!AD$4:AD$153,3),3,4)))</f>
        <v>3</v>
      </c>
      <c r="AE141" s="8">
        <f>IF(Data!AE141&lt;=QUARTILE(Data!AE$4:AE$153,1),1,IF(Data!AE141&lt;=MEDIAN(Data!AE$4:AE$153),2,IF(Data!AE141&lt;=QUARTILE(Data!AE$4:AE$153,3),3,4)))</f>
        <v>3</v>
      </c>
      <c r="AF141" s="8">
        <f>IF(Data!AF141&lt;=QUARTILE(Data!AF$4:AF$153,1),1,IF(Data!AF141&lt;=MEDIAN(Data!AF$4:AF$153),2,IF(Data!AF141&lt;=QUARTILE(Data!AF$4:AF$153,3),3,4)))</f>
        <v>4</v>
      </c>
      <c r="AG141" s="8">
        <f>IF(Data!AG141&lt;=QUARTILE(Data!AG$4:AG$153,1),1,IF(Data!AG141&lt;=MEDIAN(Data!AG$4:AG$153),2,IF(Data!AG141&lt;=QUARTILE(Data!AG$4:AG$153,3),3,4)))</f>
        <v>3</v>
      </c>
      <c r="AH141" s="9">
        <f>IF(Data!AH141&lt;=QUARTILE(Data!AH$4:AH$153,1),1,IF(Data!AH141&lt;=MEDIAN(Data!AH$4:AH$153),2,IF(Data!AH141&lt;=QUARTILE(Data!AH$4:AH$153,3),3,4)))</f>
        <v>1</v>
      </c>
    </row>
    <row r="142" spans="1:34" x14ac:dyDescent="0.25">
      <c r="A142" s="7" t="s">
        <v>71</v>
      </c>
      <c r="B142" s="14" t="s">
        <v>72</v>
      </c>
      <c r="C142" s="7">
        <v>18</v>
      </c>
      <c r="D142" s="8">
        <v>64</v>
      </c>
      <c r="E142" s="42" t="s">
        <v>59</v>
      </c>
      <c r="F142" s="9">
        <v>-6.3</v>
      </c>
      <c r="G142" s="7">
        <f>IF(Data!G142&lt;=QUARTILE(Data!G$4:G$153,1),1,IF(Data!G142&lt;=MEDIAN(Data!G$4:G$153),2,IF(Data!G142&lt;=QUARTILE(Data!G$4:G$153,3),3,4)))</f>
        <v>1</v>
      </c>
      <c r="H142" s="8">
        <f>IF(Data!H142&lt;=QUARTILE(Data!H$4:H$153,1),1,IF(Data!H142&lt;=MEDIAN(Data!H$4:H$153),2,IF(Data!H142&lt;=QUARTILE(Data!H$4:H$153,3),3,4)))</f>
        <v>2</v>
      </c>
      <c r="I142" s="8">
        <f>IF(Data!I142&lt;=QUARTILE(Data!I$4:I$153,1),1,IF(Data!I142&lt;=MEDIAN(Data!I$4:I$153),2,IF(Data!I142&lt;=QUARTILE(Data!I$4:I$153,3),3,4)))</f>
        <v>1</v>
      </c>
      <c r="J142" s="8">
        <f>IF(Data!J142&lt;=QUARTILE(Data!J$4:J$153,1),1,IF(Data!J142&lt;=MEDIAN(Data!J$4:J$153),2,IF(Data!J142&lt;=QUARTILE(Data!J$4:J$153,3),3,4)))</f>
        <v>2</v>
      </c>
      <c r="K142" s="8">
        <f>IF(Data!K142&lt;=QUARTILE(Data!K$4:K$153,1),1,IF(Data!K142&lt;=MEDIAN(Data!K$4:K$153),2,IF(Data!K142&lt;=QUARTILE(Data!K$4:K$153,3),3,4)))</f>
        <v>1</v>
      </c>
      <c r="L142" s="8">
        <f>IF(Data!L142&lt;=QUARTILE(Data!L$4:L$153,1),1,IF(Data!L142&lt;=MEDIAN(Data!L$4:L$153),2,IF(Data!L142&lt;=QUARTILE(Data!L$4:L$153,3),3,4)))</f>
        <v>1</v>
      </c>
      <c r="M142" s="8">
        <f>IF(Data!M142&lt;=QUARTILE(Data!M$4:M$153,1),1,IF(Data!M142&lt;=MEDIAN(Data!M$4:M$153),2,IF(Data!M142&lt;=QUARTILE(Data!M$4:M$153,3),3,4)))</f>
        <v>4</v>
      </c>
      <c r="N142" s="8">
        <f>IF(Data!N142&lt;=QUARTILE(Data!N$4:N$153,1),1,IF(Data!N142&lt;=MEDIAN(Data!N$4:N$153),2,IF(Data!N142&lt;=QUARTILE(Data!N$4:N$153,3),3,4)))</f>
        <v>1</v>
      </c>
      <c r="O142" s="8">
        <f>IF(Data!O142&lt;=QUARTILE(Data!O$4:O$153,1),1,IF(Data!O142&lt;=MEDIAN(Data!O$4:O$153),2,IF(Data!O142&lt;=QUARTILE(Data!O$4:O$153,3),3,4)))</f>
        <v>3</v>
      </c>
      <c r="P142" s="8">
        <f>IF(Data!P142&lt;=QUARTILE(Data!P$4:P$153,1),1,IF(Data!P142&lt;=MEDIAN(Data!P$4:P$153),2,IF(Data!P142&lt;=QUARTILE(Data!P$4:P$153,3),3,4)))</f>
        <v>1</v>
      </c>
      <c r="Q142" s="8">
        <f>IF(Data!Q142&lt;=QUARTILE(Data!Q$4:Q$153,1),1,IF(Data!Q142&lt;=MEDIAN(Data!Q$4:Q$153),2,IF(Data!Q142&lt;=QUARTILE(Data!Q$4:Q$153,3),3,4)))</f>
        <v>1</v>
      </c>
      <c r="R142" s="8">
        <f>IF(Data!R142&lt;=QUARTILE(Data!R$4:R$153,1),1,IF(Data!R142&lt;=MEDIAN(Data!R$4:R$153),2,IF(Data!R142&lt;=QUARTILE(Data!R$4:R$153,3),3,4)))</f>
        <v>3</v>
      </c>
      <c r="S142" s="8">
        <f>IF(Data!S142&lt;=QUARTILE(Data!S$4:S$153,1),1,IF(Data!S142&lt;=MEDIAN(Data!S$4:S$153),2,IF(Data!S142&lt;=QUARTILE(Data!S$4:S$153,3),3,4)))</f>
        <v>3</v>
      </c>
      <c r="T142" s="9">
        <f>IF(Data!T142&lt;=QUARTILE(Data!T$4:T$153,1),1,IF(Data!T142&lt;=MEDIAN(Data!T$4:T$153),2,IF(Data!T142&lt;=QUARTILE(Data!T$4:T$153,3),3,4)))</f>
        <v>1</v>
      </c>
      <c r="U142" s="7">
        <f>IF(Data!U142&lt;=QUARTILE(Data!U$4:U$153,1),1,IF(Data!U142&lt;=MEDIAN(Data!U$4:U$153),2,IF(Data!U142&lt;=QUARTILE(Data!U$4:U$153,3),3,4)))</f>
        <v>1</v>
      </c>
      <c r="V142" s="8">
        <f>IF(Data!V142&lt;=QUARTILE(Data!V$4:V$153,1),1,IF(Data!V142&lt;=MEDIAN(Data!V$4:V$153),2,IF(Data!V142&lt;=QUARTILE(Data!V$4:V$153,3),3,4)))</f>
        <v>1</v>
      </c>
      <c r="W142" s="8">
        <f>IF(Data!W142&lt;=QUARTILE(Data!W$4:W$153,1),1,IF(Data!W142&lt;=MEDIAN(Data!W$4:W$153),2,IF(Data!W142&lt;=QUARTILE(Data!W$4:W$153,3),3,4)))</f>
        <v>2</v>
      </c>
      <c r="X142" s="8">
        <f>IF(Data!X142&lt;=QUARTILE(Data!X$4:X$153,1),1,IF(Data!X142&lt;=MEDIAN(Data!X$4:X$153),2,IF(Data!X142&lt;=QUARTILE(Data!X$4:X$153,3),3,4)))</f>
        <v>2</v>
      </c>
      <c r="Y142" s="8">
        <f>IF(Data!Y142&lt;=QUARTILE(Data!Y$4:Y$153,1),1,IF(Data!Y142&lt;=MEDIAN(Data!Y$4:Y$153),2,IF(Data!Y142&lt;=QUARTILE(Data!Y$4:Y$153,3),3,4)))</f>
        <v>3</v>
      </c>
      <c r="Z142" s="8">
        <f>IF(Data!Z142&lt;=QUARTILE(Data!Z$4:Z$153,1),1,IF(Data!Z142&lt;=MEDIAN(Data!Z$4:Z$153),2,IF(Data!Z142&lt;=QUARTILE(Data!Z$4:Z$153,3),3,4)))</f>
        <v>3</v>
      </c>
      <c r="AA142" s="8">
        <f>IF(Data!AA142&lt;=QUARTILE(Data!AA$4:AA$153,1),1,IF(Data!AA142&lt;=MEDIAN(Data!AA$4:AA$153),2,IF(Data!AA142&lt;=QUARTILE(Data!AA$4:AA$153,3),3,4)))</f>
        <v>3</v>
      </c>
      <c r="AB142" s="8">
        <f>IF(Data!AB142&lt;=QUARTILE(Data!AB$4:AB$153,1),1,IF(Data!AB142&lt;=MEDIAN(Data!AB$4:AB$153),2,IF(Data!AB142&lt;=QUARTILE(Data!AB$4:AB$153,3),3,4)))</f>
        <v>3</v>
      </c>
      <c r="AC142" s="8">
        <f>IF(Data!AC142&lt;=QUARTILE(Data!AC$4:AC$153,1),1,IF(Data!AC142&lt;=MEDIAN(Data!AC$4:AC$153),2,IF(Data!AC142&lt;=QUARTILE(Data!AC$4:AC$153,3),3,4)))</f>
        <v>3</v>
      </c>
      <c r="AD142" s="8">
        <f>IF(Data!AD142&lt;=QUARTILE(Data!AD$4:AD$153,1),1,IF(Data!AD142&lt;=MEDIAN(Data!AD$4:AD$153),2,IF(Data!AD142&lt;=QUARTILE(Data!AD$4:AD$153,3),3,4)))</f>
        <v>3</v>
      </c>
      <c r="AE142" s="8">
        <f>IF(Data!AE142&lt;=QUARTILE(Data!AE$4:AE$153,1),1,IF(Data!AE142&lt;=MEDIAN(Data!AE$4:AE$153),2,IF(Data!AE142&lt;=QUARTILE(Data!AE$4:AE$153,3),3,4)))</f>
        <v>4</v>
      </c>
      <c r="AF142" s="8">
        <f>IF(Data!AF142&lt;=QUARTILE(Data!AF$4:AF$153,1),1,IF(Data!AF142&lt;=MEDIAN(Data!AF$4:AF$153),2,IF(Data!AF142&lt;=QUARTILE(Data!AF$4:AF$153,3),3,4)))</f>
        <v>2</v>
      </c>
      <c r="AG142" s="8">
        <f>IF(Data!AG142&lt;=QUARTILE(Data!AG$4:AG$153,1),1,IF(Data!AG142&lt;=MEDIAN(Data!AG$4:AG$153),2,IF(Data!AG142&lt;=QUARTILE(Data!AG$4:AG$153,3),3,4)))</f>
        <v>2</v>
      </c>
      <c r="AH142" s="9">
        <f>IF(Data!AH142&lt;=QUARTILE(Data!AH$4:AH$153,1),1,IF(Data!AH142&lt;=MEDIAN(Data!AH$4:AH$153),2,IF(Data!AH142&lt;=QUARTILE(Data!AH$4:AH$153,3),3,4)))</f>
        <v>2</v>
      </c>
    </row>
    <row r="143" spans="1:34" x14ac:dyDescent="0.25">
      <c r="A143" s="7" t="s">
        <v>18</v>
      </c>
      <c r="B143" s="14" t="s">
        <v>72</v>
      </c>
      <c r="C143" s="7">
        <v>33</v>
      </c>
      <c r="D143" s="8">
        <v>49</v>
      </c>
      <c r="E143" s="42" t="s">
        <v>59</v>
      </c>
      <c r="F143" s="9">
        <v>-2.73</v>
      </c>
      <c r="G143" s="7">
        <f>IF(Data!G143&lt;=QUARTILE(Data!G$4:G$153,1),1,IF(Data!G143&lt;=MEDIAN(Data!G$4:G$153),2,IF(Data!G143&lt;=QUARTILE(Data!G$4:G$153,3),3,4)))</f>
        <v>2</v>
      </c>
      <c r="H143" s="8">
        <f>IF(Data!H143&lt;=QUARTILE(Data!H$4:H$153,1),1,IF(Data!H143&lt;=MEDIAN(Data!H$4:H$153),2,IF(Data!H143&lt;=QUARTILE(Data!H$4:H$153,3),3,4)))</f>
        <v>3</v>
      </c>
      <c r="I143" s="8">
        <f>IF(Data!I143&lt;=QUARTILE(Data!I$4:I$153,1),1,IF(Data!I143&lt;=MEDIAN(Data!I$4:I$153),2,IF(Data!I143&lt;=QUARTILE(Data!I$4:I$153,3),3,4)))</f>
        <v>2</v>
      </c>
      <c r="J143" s="8">
        <f>IF(Data!J143&lt;=QUARTILE(Data!J$4:J$153,1),1,IF(Data!J143&lt;=MEDIAN(Data!J$4:J$153),2,IF(Data!J143&lt;=QUARTILE(Data!J$4:J$153,3),3,4)))</f>
        <v>2</v>
      </c>
      <c r="K143" s="8">
        <f>IF(Data!K143&lt;=QUARTILE(Data!K$4:K$153,1),1,IF(Data!K143&lt;=MEDIAN(Data!K$4:K$153),2,IF(Data!K143&lt;=QUARTILE(Data!K$4:K$153,3),3,4)))</f>
        <v>3</v>
      </c>
      <c r="L143" s="8">
        <f>IF(Data!L143&lt;=QUARTILE(Data!L$4:L$153,1),1,IF(Data!L143&lt;=MEDIAN(Data!L$4:L$153),2,IF(Data!L143&lt;=QUARTILE(Data!L$4:L$153,3),3,4)))</f>
        <v>2</v>
      </c>
      <c r="M143" s="8">
        <f>IF(Data!M143&lt;=QUARTILE(Data!M$4:M$153,1),1,IF(Data!M143&lt;=MEDIAN(Data!M$4:M$153),2,IF(Data!M143&lt;=QUARTILE(Data!M$4:M$153,3),3,4)))</f>
        <v>3</v>
      </c>
      <c r="N143" s="8">
        <f>IF(Data!N143&lt;=QUARTILE(Data!N$4:N$153,1),1,IF(Data!N143&lt;=MEDIAN(Data!N$4:N$153),2,IF(Data!N143&lt;=QUARTILE(Data!N$4:N$153,3),3,4)))</f>
        <v>2</v>
      </c>
      <c r="O143" s="8">
        <f>IF(Data!O143&lt;=QUARTILE(Data!O$4:O$153,1),1,IF(Data!O143&lt;=MEDIAN(Data!O$4:O$153),2,IF(Data!O143&lt;=QUARTILE(Data!O$4:O$153,3),3,4)))</f>
        <v>2</v>
      </c>
      <c r="P143" s="8">
        <f>IF(Data!P143&lt;=QUARTILE(Data!P$4:P$153,1),1,IF(Data!P143&lt;=MEDIAN(Data!P$4:P$153),2,IF(Data!P143&lt;=QUARTILE(Data!P$4:P$153,3),3,4)))</f>
        <v>3</v>
      </c>
      <c r="Q143" s="8">
        <f>IF(Data!Q143&lt;=QUARTILE(Data!Q$4:Q$153,1),1,IF(Data!Q143&lt;=MEDIAN(Data!Q$4:Q$153),2,IF(Data!Q143&lt;=QUARTILE(Data!Q$4:Q$153,3),3,4)))</f>
        <v>1</v>
      </c>
      <c r="R143" s="8">
        <f>IF(Data!R143&lt;=QUARTILE(Data!R$4:R$153,1),1,IF(Data!R143&lt;=MEDIAN(Data!R$4:R$153),2,IF(Data!R143&lt;=QUARTILE(Data!R$4:R$153,3),3,4)))</f>
        <v>3</v>
      </c>
      <c r="S143" s="8">
        <f>IF(Data!S143&lt;=QUARTILE(Data!S$4:S$153,1),1,IF(Data!S143&lt;=MEDIAN(Data!S$4:S$153),2,IF(Data!S143&lt;=QUARTILE(Data!S$4:S$153,3),3,4)))</f>
        <v>4</v>
      </c>
      <c r="T143" s="9">
        <f>IF(Data!T143&lt;=QUARTILE(Data!T$4:T$153,1),1,IF(Data!T143&lt;=MEDIAN(Data!T$4:T$153),2,IF(Data!T143&lt;=QUARTILE(Data!T$4:T$153,3),3,4)))</f>
        <v>2</v>
      </c>
      <c r="U143" s="7">
        <f>IF(Data!U143&lt;=QUARTILE(Data!U$4:U$153,1),1,IF(Data!U143&lt;=MEDIAN(Data!U$4:U$153),2,IF(Data!U143&lt;=QUARTILE(Data!U$4:U$153,3),3,4)))</f>
        <v>3</v>
      </c>
      <c r="V143" s="8">
        <f>IF(Data!V143&lt;=QUARTILE(Data!V$4:V$153,1),1,IF(Data!V143&lt;=MEDIAN(Data!V$4:V$153),2,IF(Data!V143&lt;=QUARTILE(Data!V$4:V$153,3),3,4)))</f>
        <v>2</v>
      </c>
      <c r="W143" s="8">
        <f>IF(Data!W143&lt;=QUARTILE(Data!W$4:W$153,1),1,IF(Data!W143&lt;=MEDIAN(Data!W$4:W$153),2,IF(Data!W143&lt;=QUARTILE(Data!W$4:W$153,3),3,4)))</f>
        <v>2</v>
      </c>
      <c r="X143" s="8">
        <f>IF(Data!X143&lt;=QUARTILE(Data!X$4:X$153,1),1,IF(Data!X143&lt;=MEDIAN(Data!X$4:X$153),2,IF(Data!X143&lt;=QUARTILE(Data!X$4:X$153,3),3,4)))</f>
        <v>1</v>
      </c>
      <c r="Y143" s="8">
        <f>IF(Data!Y143&lt;=QUARTILE(Data!Y$4:Y$153,1),1,IF(Data!Y143&lt;=MEDIAN(Data!Y$4:Y$153),2,IF(Data!Y143&lt;=QUARTILE(Data!Y$4:Y$153,3),3,4)))</f>
        <v>4</v>
      </c>
      <c r="Z143" s="8">
        <f>IF(Data!Z143&lt;=QUARTILE(Data!Z$4:Z$153,1),1,IF(Data!Z143&lt;=MEDIAN(Data!Z$4:Z$153),2,IF(Data!Z143&lt;=QUARTILE(Data!Z$4:Z$153,3),3,4)))</f>
        <v>4</v>
      </c>
      <c r="AA143" s="8">
        <f>IF(Data!AA143&lt;=QUARTILE(Data!AA$4:AA$153,1),1,IF(Data!AA143&lt;=MEDIAN(Data!AA$4:AA$153),2,IF(Data!AA143&lt;=QUARTILE(Data!AA$4:AA$153,3),3,4)))</f>
        <v>3</v>
      </c>
      <c r="AB143" s="8">
        <f>IF(Data!AB143&lt;=QUARTILE(Data!AB$4:AB$153,1),1,IF(Data!AB143&lt;=MEDIAN(Data!AB$4:AB$153),2,IF(Data!AB143&lt;=QUARTILE(Data!AB$4:AB$153,3),3,4)))</f>
        <v>2</v>
      </c>
      <c r="AC143" s="8">
        <f>IF(Data!AC143&lt;=QUARTILE(Data!AC$4:AC$153,1),1,IF(Data!AC143&lt;=MEDIAN(Data!AC$4:AC$153),2,IF(Data!AC143&lt;=QUARTILE(Data!AC$4:AC$153,3),3,4)))</f>
        <v>2</v>
      </c>
      <c r="AD143" s="8">
        <f>IF(Data!AD143&lt;=QUARTILE(Data!AD$4:AD$153,1),1,IF(Data!AD143&lt;=MEDIAN(Data!AD$4:AD$153),2,IF(Data!AD143&lt;=QUARTILE(Data!AD$4:AD$153,3),3,4)))</f>
        <v>3</v>
      </c>
      <c r="AE143" s="8">
        <f>IF(Data!AE143&lt;=QUARTILE(Data!AE$4:AE$153,1),1,IF(Data!AE143&lt;=MEDIAN(Data!AE$4:AE$153),2,IF(Data!AE143&lt;=QUARTILE(Data!AE$4:AE$153,3),3,4)))</f>
        <v>2</v>
      </c>
      <c r="AF143" s="8">
        <f>IF(Data!AF143&lt;=QUARTILE(Data!AF$4:AF$153,1),1,IF(Data!AF143&lt;=MEDIAN(Data!AF$4:AF$153),2,IF(Data!AF143&lt;=QUARTILE(Data!AF$4:AF$153,3),3,4)))</f>
        <v>3</v>
      </c>
      <c r="AG143" s="8">
        <f>IF(Data!AG143&lt;=QUARTILE(Data!AG$4:AG$153,1),1,IF(Data!AG143&lt;=MEDIAN(Data!AG$4:AG$153),2,IF(Data!AG143&lt;=QUARTILE(Data!AG$4:AG$153,3),3,4)))</f>
        <v>2</v>
      </c>
      <c r="AH143" s="9">
        <f>IF(Data!AH143&lt;=QUARTILE(Data!AH$4:AH$153,1),1,IF(Data!AH143&lt;=MEDIAN(Data!AH$4:AH$153),2,IF(Data!AH143&lt;=QUARTILE(Data!AH$4:AH$153,3),3,4)))</f>
        <v>3</v>
      </c>
    </row>
    <row r="144" spans="1:34" x14ac:dyDescent="0.25">
      <c r="A144" s="7" t="s">
        <v>66</v>
      </c>
      <c r="B144" s="14" t="s">
        <v>72</v>
      </c>
      <c r="C144" s="7">
        <v>36</v>
      </c>
      <c r="D144" s="8">
        <v>46</v>
      </c>
      <c r="E144" s="42" t="s">
        <v>59</v>
      </c>
      <c r="F144" s="9">
        <v>-2.52</v>
      </c>
      <c r="G144" s="7">
        <f>IF(Data!G144&lt;=QUARTILE(Data!G$4:G$153,1),1,IF(Data!G144&lt;=MEDIAN(Data!G$4:G$153),2,IF(Data!G144&lt;=QUARTILE(Data!G$4:G$153,3),3,4)))</f>
        <v>3</v>
      </c>
      <c r="H144" s="8">
        <f>IF(Data!H144&lt;=QUARTILE(Data!H$4:H$153,1),1,IF(Data!H144&lt;=MEDIAN(Data!H$4:H$153),2,IF(Data!H144&lt;=QUARTILE(Data!H$4:H$153,3),3,4)))</f>
        <v>3</v>
      </c>
      <c r="I144" s="8">
        <f>IF(Data!I144&lt;=QUARTILE(Data!I$4:I$153,1),1,IF(Data!I144&lt;=MEDIAN(Data!I$4:I$153),2,IF(Data!I144&lt;=QUARTILE(Data!I$4:I$153,3),3,4)))</f>
        <v>1</v>
      </c>
      <c r="J144" s="8">
        <f>IF(Data!J144&lt;=QUARTILE(Data!J$4:J$153,1),1,IF(Data!J144&lt;=MEDIAN(Data!J$4:J$153),2,IF(Data!J144&lt;=QUARTILE(Data!J$4:J$153,3),3,4)))</f>
        <v>1</v>
      </c>
      <c r="K144" s="8">
        <f>IF(Data!K144&lt;=QUARTILE(Data!K$4:K$153,1),1,IF(Data!K144&lt;=MEDIAN(Data!K$4:K$153),2,IF(Data!K144&lt;=QUARTILE(Data!K$4:K$153,3),3,4)))</f>
        <v>4</v>
      </c>
      <c r="L144" s="8">
        <f>IF(Data!L144&lt;=QUARTILE(Data!L$4:L$153,1),1,IF(Data!L144&lt;=MEDIAN(Data!L$4:L$153),2,IF(Data!L144&lt;=QUARTILE(Data!L$4:L$153,3),3,4)))</f>
        <v>4</v>
      </c>
      <c r="M144" s="8">
        <f>IF(Data!M144&lt;=QUARTILE(Data!M$4:M$153,1),1,IF(Data!M144&lt;=MEDIAN(Data!M$4:M$153),2,IF(Data!M144&lt;=QUARTILE(Data!M$4:M$153,3),3,4)))</f>
        <v>4</v>
      </c>
      <c r="N144" s="8">
        <f>IF(Data!N144&lt;=QUARTILE(Data!N$4:N$153,1),1,IF(Data!N144&lt;=MEDIAN(Data!N$4:N$153),2,IF(Data!N144&lt;=QUARTILE(Data!N$4:N$153,3),3,4)))</f>
        <v>3</v>
      </c>
      <c r="O144" s="8">
        <f>IF(Data!O144&lt;=QUARTILE(Data!O$4:O$153,1),1,IF(Data!O144&lt;=MEDIAN(Data!O$4:O$153),2,IF(Data!O144&lt;=QUARTILE(Data!O$4:O$153,3),3,4)))</f>
        <v>1</v>
      </c>
      <c r="P144" s="8">
        <f>IF(Data!P144&lt;=QUARTILE(Data!P$4:P$153,1),1,IF(Data!P144&lt;=MEDIAN(Data!P$4:P$153),2,IF(Data!P144&lt;=QUARTILE(Data!P$4:P$153,3),3,4)))</f>
        <v>4</v>
      </c>
      <c r="Q144" s="8">
        <f>IF(Data!Q144&lt;=QUARTILE(Data!Q$4:Q$153,1),1,IF(Data!Q144&lt;=MEDIAN(Data!Q$4:Q$153),2,IF(Data!Q144&lt;=QUARTILE(Data!Q$4:Q$153,3),3,4)))</f>
        <v>4</v>
      </c>
      <c r="R144" s="8">
        <f>IF(Data!R144&lt;=QUARTILE(Data!R$4:R$153,1),1,IF(Data!R144&lt;=MEDIAN(Data!R$4:R$153),2,IF(Data!R144&lt;=QUARTILE(Data!R$4:R$153,3),3,4)))</f>
        <v>4</v>
      </c>
      <c r="S144" s="8">
        <f>IF(Data!S144&lt;=QUARTILE(Data!S$4:S$153,1),1,IF(Data!S144&lt;=MEDIAN(Data!S$4:S$153),2,IF(Data!S144&lt;=QUARTILE(Data!S$4:S$153,3),3,4)))</f>
        <v>4</v>
      </c>
      <c r="T144" s="9">
        <f>IF(Data!T144&lt;=QUARTILE(Data!T$4:T$153,1),1,IF(Data!T144&lt;=MEDIAN(Data!T$4:T$153),2,IF(Data!T144&lt;=QUARTILE(Data!T$4:T$153,3),3,4)))</f>
        <v>3</v>
      </c>
      <c r="U144" s="7">
        <f>IF(Data!U144&lt;=QUARTILE(Data!U$4:U$153,1),1,IF(Data!U144&lt;=MEDIAN(Data!U$4:U$153),2,IF(Data!U144&lt;=QUARTILE(Data!U$4:U$153,3),3,4)))</f>
        <v>3</v>
      </c>
      <c r="V144" s="8">
        <f>IF(Data!V144&lt;=QUARTILE(Data!V$4:V$153,1),1,IF(Data!V144&lt;=MEDIAN(Data!V$4:V$153),2,IF(Data!V144&lt;=QUARTILE(Data!V$4:V$153,3),3,4)))</f>
        <v>4</v>
      </c>
      <c r="W144" s="8">
        <f>IF(Data!W144&lt;=QUARTILE(Data!W$4:W$153,1),1,IF(Data!W144&lt;=MEDIAN(Data!W$4:W$153),2,IF(Data!W144&lt;=QUARTILE(Data!W$4:W$153,3),3,4)))</f>
        <v>1</v>
      </c>
      <c r="X144" s="8">
        <f>IF(Data!X144&lt;=QUARTILE(Data!X$4:X$153,1),1,IF(Data!X144&lt;=MEDIAN(Data!X$4:X$153),2,IF(Data!X144&lt;=QUARTILE(Data!X$4:X$153,3),3,4)))</f>
        <v>1</v>
      </c>
      <c r="Y144" s="8">
        <f>IF(Data!Y144&lt;=QUARTILE(Data!Y$4:Y$153,1),1,IF(Data!Y144&lt;=MEDIAN(Data!Y$4:Y$153),2,IF(Data!Y144&lt;=QUARTILE(Data!Y$4:Y$153,3),3,4)))</f>
        <v>4</v>
      </c>
      <c r="Z144" s="8">
        <f>IF(Data!Z144&lt;=QUARTILE(Data!Z$4:Z$153,1),1,IF(Data!Z144&lt;=MEDIAN(Data!Z$4:Z$153),2,IF(Data!Z144&lt;=QUARTILE(Data!Z$4:Z$153,3),3,4)))</f>
        <v>4</v>
      </c>
      <c r="AA144" s="8">
        <f>IF(Data!AA144&lt;=QUARTILE(Data!AA$4:AA$153,1),1,IF(Data!AA144&lt;=MEDIAN(Data!AA$4:AA$153),2,IF(Data!AA144&lt;=QUARTILE(Data!AA$4:AA$153,3),3,4)))</f>
        <v>4</v>
      </c>
      <c r="AB144" s="8">
        <f>IF(Data!AB144&lt;=QUARTILE(Data!AB$4:AB$153,1),1,IF(Data!AB144&lt;=MEDIAN(Data!AB$4:AB$153),2,IF(Data!AB144&lt;=QUARTILE(Data!AB$4:AB$153,3),3,4)))</f>
        <v>2</v>
      </c>
      <c r="AC144" s="8">
        <f>IF(Data!AC144&lt;=QUARTILE(Data!AC$4:AC$153,1),1,IF(Data!AC144&lt;=MEDIAN(Data!AC$4:AC$153),2,IF(Data!AC144&lt;=QUARTILE(Data!AC$4:AC$153,3),3,4)))</f>
        <v>3</v>
      </c>
      <c r="AD144" s="8">
        <f>IF(Data!AD144&lt;=QUARTILE(Data!AD$4:AD$153,1),1,IF(Data!AD144&lt;=MEDIAN(Data!AD$4:AD$153),2,IF(Data!AD144&lt;=QUARTILE(Data!AD$4:AD$153,3),3,4)))</f>
        <v>4</v>
      </c>
      <c r="AE144" s="8">
        <f>IF(Data!AE144&lt;=QUARTILE(Data!AE$4:AE$153,1),1,IF(Data!AE144&lt;=MEDIAN(Data!AE$4:AE$153),2,IF(Data!AE144&lt;=QUARTILE(Data!AE$4:AE$153,3),3,4)))</f>
        <v>1</v>
      </c>
      <c r="AF144" s="8">
        <f>IF(Data!AF144&lt;=QUARTILE(Data!AF$4:AF$153,1),1,IF(Data!AF144&lt;=MEDIAN(Data!AF$4:AF$153),2,IF(Data!AF144&lt;=QUARTILE(Data!AF$4:AF$153,3),3,4)))</f>
        <v>3</v>
      </c>
      <c r="AG144" s="8">
        <f>IF(Data!AG144&lt;=QUARTILE(Data!AG$4:AG$153,1),1,IF(Data!AG144&lt;=MEDIAN(Data!AG$4:AG$153),2,IF(Data!AG144&lt;=QUARTILE(Data!AG$4:AG$153,3),3,4)))</f>
        <v>4</v>
      </c>
      <c r="AH144" s="9">
        <f>IF(Data!AH144&lt;=QUARTILE(Data!AH$4:AH$153,1),1,IF(Data!AH144&lt;=MEDIAN(Data!AH$4:AH$153),2,IF(Data!AH144&lt;=QUARTILE(Data!AH$4:AH$153,3),3,4)))</f>
        <v>4</v>
      </c>
    </row>
    <row r="145" spans="1:34" x14ac:dyDescent="0.25">
      <c r="A145" s="7" t="s">
        <v>63</v>
      </c>
      <c r="B145" s="14" t="s">
        <v>72</v>
      </c>
      <c r="C145" s="7">
        <v>43</v>
      </c>
      <c r="D145" s="8">
        <v>39</v>
      </c>
      <c r="E145" s="42" t="s">
        <v>58</v>
      </c>
      <c r="F145" s="9">
        <v>-1.08</v>
      </c>
      <c r="G145" s="7">
        <f>IF(Data!G145&lt;=QUARTILE(Data!G$4:G$153,1),1,IF(Data!G145&lt;=MEDIAN(Data!G$4:G$153),2,IF(Data!G145&lt;=QUARTILE(Data!G$4:G$153,3),3,4)))</f>
        <v>2</v>
      </c>
      <c r="H145" s="8">
        <f>IF(Data!H145&lt;=QUARTILE(Data!H$4:H$153,1),1,IF(Data!H145&lt;=MEDIAN(Data!H$4:H$153),2,IF(Data!H145&lt;=QUARTILE(Data!H$4:H$153,3),3,4)))</f>
        <v>4</v>
      </c>
      <c r="I145" s="8">
        <f>IF(Data!I145&lt;=QUARTILE(Data!I$4:I$153,1),1,IF(Data!I145&lt;=MEDIAN(Data!I$4:I$153),2,IF(Data!I145&lt;=QUARTILE(Data!I$4:I$153,3),3,4)))</f>
        <v>3</v>
      </c>
      <c r="J145" s="8">
        <f>IF(Data!J145&lt;=QUARTILE(Data!J$4:J$153,1),1,IF(Data!J145&lt;=MEDIAN(Data!J$4:J$153),2,IF(Data!J145&lt;=QUARTILE(Data!J$4:J$153,3),3,4)))</f>
        <v>3</v>
      </c>
      <c r="K145" s="8">
        <f>IF(Data!K145&lt;=QUARTILE(Data!K$4:K$153,1),1,IF(Data!K145&lt;=MEDIAN(Data!K$4:K$153),2,IF(Data!K145&lt;=QUARTILE(Data!K$4:K$153,3),3,4)))</f>
        <v>4</v>
      </c>
      <c r="L145" s="8">
        <f>IF(Data!L145&lt;=QUARTILE(Data!L$4:L$153,1),1,IF(Data!L145&lt;=MEDIAN(Data!L$4:L$153),2,IF(Data!L145&lt;=QUARTILE(Data!L$4:L$153,3),3,4)))</f>
        <v>3</v>
      </c>
      <c r="M145" s="8">
        <f>IF(Data!M145&lt;=QUARTILE(Data!M$4:M$153,1),1,IF(Data!M145&lt;=MEDIAN(Data!M$4:M$153),2,IF(Data!M145&lt;=QUARTILE(Data!M$4:M$153,3),3,4)))</f>
        <v>2</v>
      </c>
      <c r="N145" s="8">
        <f>IF(Data!N145&lt;=QUARTILE(Data!N$4:N$153,1),1,IF(Data!N145&lt;=MEDIAN(Data!N$4:N$153),2,IF(Data!N145&lt;=QUARTILE(Data!N$4:N$153,3),3,4)))</f>
        <v>3</v>
      </c>
      <c r="O145" s="8">
        <f>IF(Data!O145&lt;=QUARTILE(Data!O$4:O$153,1),1,IF(Data!O145&lt;=MEDIAN(Data!O$4:O$153),2,IF(Data!O145&lt;=QUARTILE(Data!O$4:O$153,3),3,4)))</f>
        <v>2</v>
      </c>
      <c r="P145" s="8">
        <f>IF(Data!P145&lt;=QUARTILE(Data!P$4:P$153,1),1,IF(Data!P145&lt;=MEDIAN(Data!P$4:P$153),2,IF(Data!P145&lt;=QUARTILE(Data!P$4:P$153,3),3,4)))</f>
        <v>4</v>
      </c>
      <c r="Q145" s="8">
        <f>IF(Data!Q145&lt;=QUARTILE(Data!Q$4:Q$153,1),1,IF(Data!Q145&lt;=MEDIAN(Data!Q$4:Q$153),2,IF(Data!Q145&lt;=QUARTILE(Data!Q$4:Q$153,3),3,4)))</f>
        <v>1</v>
      </c>
      <c r="R145" s="8">
        <f>IF(Data!R145&lt;=QUARTILE(Data!R$4:R$153,1),1,IF(Data!R145&lt;=MEDIAN(Data!R$4:R$153),2,IF(Data!R145&lt;=QUARTILE(Data!R$4:R$153,3),3,4)))</f>
        <v>4</v>
      </c>
      <c r="S145" s="8">
        <f>IF(Data!S145&lt;=QUARTILE(Data!S$4:S$153,1),1,IF(Data!S145&lt;=MEDIAN(Data!S$4:S$153),2,IF(Data!S145&lt;=QUARTILE(Data!S$4:S$153,3),3,4)))</f>
        <v>3</v>
      </c>
      <c r="T145" s="9">
        <f>IF(Data!T145&lt;=QUARTILE(Data!T$4:T$153,1),1,IF(Data!T145&lt;=MEDIAN(Data!T$4:T$153),2,IF(Data!T145&lt;=QUARTILE(Data!T$4:T$153,3),3,4)))</f>
        <v>3</v>
      </c>
      <c r="U145" s="7">
        <f>IF(Data!U145&lt;=QUARTILE(Data!U$4:U$153,1),1,IF(Data!U145&lt;=MEDIAN(Data!U$4:U$153),2,IF(Data!U145&lt;=QUARTILE(Data!U$4:U$153,3),3,4)))</f>
        <v>2</v>
      </c>
      <c r="V145" s="8">
        <f>IF(Data!V145&lt;=QUARTILE(Data!V$4:V$153,1),1,IF(Data!V145&lt;=MEDIAN(Data!V$4:V$153),2,IF(Data!V145&lt;=QUARTILE(Data!V$4:V$153,3),3,4)))</f>
        <v>3</v>
      </c>
      <c r="W145" s="8">
        <f>IF(Data!W145&lt;=QUARTILE(Data!W$4:W$153,1),1,IF(Data!W145&lt;=MEDIAN(Data!W$4:W$153),2,IF(Data!W145&lt;=QUARTILE(Data!W$4:W$153,3),3,4)))</f>
        <v>4</v>
      </c>
      <c r="X145" s="8">
        <f>IF(Data!X145&lt;=QUARTILE(Data!X$4:X$153,1),1,IF(Data!X145&lt;=MEDIAN(Data!X$4:X$153),2,IF(Data!X145&lt;=QUARTILE(Data!X$4:X$153,3),3,4)))</f>
        <v>4</v>
      </c>
      <c r="Y145" s="8">
        <f>IF(Data!Y145&lt;=QUARTILE(Data!Y$4:Y$153,1),1,IF(Data!Y145&lt;=MEDIAN(Data!Y$4:Y$153),2,IF(Data!Y145&lt;=QUARTILE(Data!Y$4:Y$153,3),3,4)))</f>
        <v>4</v>
      </c>
      <c r="Z145" s="8">
        <f>IF(Data!Z145&lt;=QUARTILE(Data!Z$4:Z$153,1),1,IF(Data!Z145&lt;=MEDIAN(Data!Z$4:Z$153),2,IF(Data!Z145&lt;=QUARTILE(Data!Z$4:Z$153,3),3,4)))</f>
        <v>4</v>
      </c>
      <c r="AA145" s="8">
        <f>IF(Data!AA145&lt;=QUARTILE(Data!AA$4:AA$153,1),1,IF(Data!AA145&lt;=MEDIAN(Data!AA$4:AA$153),2,IF(Data!AA145&lt;=QUARTILE(Data!AA$4:AA$153,3),3,4)))</f>
        <v>3</v>
      </c>
      <c r="AB145" s="8">
        <f>IF(Data!AB145&lt;=QUARTILE(Data!AB$4:AB$153,1),1,IF(Data!AB145&lt;=MEDIAN(Data!AB$4:AB$153),2,IF(Data!AB145&lt;=QUARTILE(Data!AB$4:AB$153,3),3,4)))</f>
        <v>4</v>
      </c>
      <c r="AC145" s="8">
        <f>IF(Data!AC145&lt;=QUARTILE(Data!AC$4:AC$153,1),1,IF(Data!AC145&lt;=MEDIAN(Data!AC$4:AC$153),2,IF(Data!AC145&lt;=QUARTILE(Data!AC$4:AC$153,3),3,4)))</f>
        <v>4</v>
      </c>
      <c r="AD145" s="8">
        <f>IF(Data!AD145&lt;=QUARTILE(Data!AD$4:AD$153,1),1,IF(Data!AD145&lt;=MEDIAN(Data!AD$4:AD$153),2,IF(Data!AD145&lt;=QUARTILE(Data!AD$4:AD$153,3),3,4)))</f>
        <v>4</v>
      </c>
      <c r="AE145" s="8">
        <f>IF(Data!AE145&lt;=QUARTILE(Data!AE$4:AE$153,1),1,IF(Data!AE145&lt;=MEDIAN(Data!AE$4:AE$153),2,IF(Data!AE145&lt;=QUARTILE(Data!AE$4:AE$153,3),3,4)))</f>
        <v>2</v>
      </c>
      <c r="AF145" s="8">
        <f>IF(Data!AF145&lt;=QUARTILE(Data!AF$4:AF$153,1),1,IF(Data!AF145&lt;=MEDIAN(Data!AF$4:AF$153),2,IF(Data!AF145&lt;=QUARTILE(Data!AF$4:AF$153,3),3,4)))</f>
        <v>4</v>
      </c>
      <c r="AG145" s="8">
        <f>IF(Data!AG145&lt;=QUARTILE(Data!AG$4:AG$153,1),1,IF(Data!AG145&lt;=MEDIAN(Data!AG$4:AG$153),2,IF(Data!AG145&lt;=QUARTILE(Data!AG$4:AG$153,3),3,4)))</f>
        <v>4</v>
      </c>
      <c r="AH145" s="9">
        <f>IF(Data!AH145&lt;=QUARTILE(Data!AH$4:AH$153,1),1,IF(Data!AH145&lt;=MEDIAN(Data!AH$4:AH$153),2,IF(Data!AH145&lt;=QUARTILE(Data!AH$4:AH$153,3),3,4)))</f>
        <v>3</v>
      </c>
    </row>
    <row r="146" spans="1:34" x14ac:dyDescent="0.25">
      <c r="A146" s="7" t="s">
        <v>16</v>
      </c>
      <c r="B146" s="14" t="s">
        <v>72</v>
      </c>
      <c r="C146" s="7">
        <v>62</v>
      </c>
      <c r="D146" s="8">
        <v>20</v>
      </c>
      <c r="E146" s="42" t="s">
        <v>58</v>
      </c>
      <c r="F146" s="9">
        <v>7.08</v>
      </c>
      <c r="G146" s="7">
        <f>IF(Data!G146&lt;=QUARTILE(Data!G$4:G$153,1),1,IF(Data!G146&lt;=MEDIAN(Data!G$4:G$153),2,IF(Data!G146&lt;=QUARTILE(Data!G$4:G$153,3),3,4)))</f>
        <v>4</v>
      </c>
      <c r="H146" s="8">
        <f>IF(Data!H146&lt;=QUARTILE(Data!H$4:H$153,1),1,IF(Data!H146&lt;=MEDIAN(Data!H$4:H$153),2,IF(Data!H146&lt;=QUARTILE(Data!H$4:H$153,3),3,4)))</f>
        <v>4</v>
      </c>
      <c r="I146" s="8">
        <f>IF(Data!I146&lt;=QUARTILE(Data!I$4:I$153,1),1,IF(Data!I146&lt;=MEDIAN(Data!I$4:I$153),2,IF(Data!I146&lt;=QUARTILE(Data!I$4:I$153,3),3,4)))</f>
        <v>4</v>
      </c>
      <c r="J146" s="8">
        <f>IF(Data!J146&lt;=QUARTILE(Data!J$4:J$153,1),1,IF(Data!J146&lt;=MEDIAN(Data!J$4:J$153),2,IF(Data!J146&lt;=QUARTILE(Data!J$4:J$153,3),3,4)))</f>
        <v>4</v>
      </c>
      <c r="K146" s="8">
        <f>IF(Data!K146&lt;=QUARTILE(Data!K$4:K$153,1),1,IF(Data!K146&lt;=MEDIAN(Data!K$4:K$153),2,IF(Data!K146&lt;=QUARTILE(Data!K$4:K$153,3),3,4)))</f>
        <v>2</v>
      </c>
      <c r="L146" s="8">
        <f>IF(Data!L146&lt;=QUARTILE(Data!L$4:L$153,1),1,IF(Data!L146&lt;=MEDIAN(Data!L$4:L$153),2,IF(Data!L146&lt;=QUARTILE(Data!L$4:L$153,3),3,4)))</f>
        <v>2</v>
      </c>
      <c r="M146" s="8">
        <f>IF(Data!M146&lt;=QUARTILE(Data!M$4:M$153,1),1,IF(Data!M146&lt;=MEDIAN(Data!M$4:M$153),2,IF(Data!M146&lt;=QUARTILE(Data!M$4:M$153,3),3,4)))</f>
        <v>3</v>
      </c>
      <c r="N146" s="8">
        <f>IF(Data!N146&lt;=QUARTILE(Data!N$4:N$153,1),1,IF(Data!N146&lt;=MEDIAN(Data!N$4:N$153),2,IF(Data!N146&lt;=QUARTILE(Data!N$4:N$153,3),3,4)))</f>
        <v>4</v>
      </c>
      <c r="O146" s="8">
        <f>IF(Data!O146&lt;=QUARTILE(Data!O$4:O$153,1),1,IF(Data!O146&lt;=MEDIAN(Data!O$4:O$153),2,IF(Data!O146&lt;=QUARTILE(Data!O$4:O$153,3),3,4)))</f>
        <v>4</v>
      </c>
      <c r="P146" s="8">
        <f>IF(Data!P146&lt;=QUARTILE(Data!P$4:P$153,1),1,IF(Data!P146&lt;=MEDIAN(Data!P$4:P$153),2,IF(Data!P146&lt;=QUARTILE(Data!P$4:P$153,3),3,4)))</f>
        <v>2</v>
      </c>
      <c r="Q146" s="8">
        <f>IF(Data!Q146&lt;=QUARTILE(Data!Q$4:Q$153,1),1,IF(Data!Q146&lt;=MEDIAN(Data!Q$4:Q$153),2,IF(Data!Q146&lt;=QUARTILE(Data!Q$4:Q$153,3),3,4)))</f>
        <v>4</v>
      </c>
      <c r="R146" s="8">
        <f>IF(Data!R146&lt;=QUARTILE(Data!R$4:R$153,1),1,IF(Data!R146&lt;=MEDIAN(Data!R$4:R$153),2,IF(Data!R146&lt;=QUARTILE(Data!R$4:R$153,3),3,4)))</f>
        <v>1</v>
      </c>
      <c r="S146" s="8">
        <f>IF(Data!S146&lt;=QUARTILE(Data!S$4:S$153,1),1,IF(Data!S146&lt;=MEDIAN(Data!S$4:S$153),2,IF(Data!S146&lt;=QUARTILE(Data!S$4:S$153,3),3,4)))</f>
        <v>1</v>
      </c>
      <c r="T146" s="9">
        <f>IF(Data!T146&lt;=QUARTILE(Data!T$4:T$153,1),1,IF(Data!T146&lt;=MEDIAN(Data!T$4:T$153),2,IF(Data!T146&lt;=QUARTILE(Data!T$4:T$153,3),3,4)))</f>
        <v>4</v>
      </c>
      <c r="U146" s="7">
        <f>IF(Data!U146&lt;=QUARTILE(Data!U$4:U$153,1),1,IF(Data!U146&lt;=MEDIAN(Data!U$4:U$153),2,IF(Data!U146&lt;=QUARTILE(Data!U$4:U$153,3),3,4)))</f>
        <v>4</v>
      </c>
      <c r="V146" s="8">
        <f>IF(Data!V146&lt;=QUARTILE(Data!V$4:V$153,1),1,IF(Data!V146&lt;=MEDIAN(Data!V$4:V$153),2,IF(Data!V146&lt;=QUARTILE(Data!V$4:V$153,3),3,4)))</f>
        <v>4</v>
      </c>
      <c r="W146" s="8">
        <f>IF(Data!W146&lt;=QUARTILE(Data!W$4:W$153,1),1,IF(Data!W146&lt;=MEDIAN(Data!W$4:W$153),2,IF(Data!W146&lt;=QUARTILE(Data!W$4:W$153,3),3,4)))</f>
        <v>2</v>
      </c>
      <c r="X146" s="8">
        <f>IF(Data!X146&lt;=QUARTILE(Data!X$4:X$153,1),1,IF(Data!X146&lt;=MEDIAN(Data!X$4:X$153),2,IF(Data!X146&lt;=QUARTILE(Data!X$4:X$153,3),3,4)))</f>
        <v>3</v>
      </c>
      <c r="Y146" s="8">
        <f>IF(Data!Y146&lt;=QUARTILE(Data!Y$4:Y$153,1),1,IF(Data!Y146&lt;=MEDIAN(Data!Y$4:Y$153),2,IF(Data!Y146&lt;=QUARTILE(Data!Y$4:Y$153,3),3,4)))</f>
        <v>1</v>
      </c>
      <c r="Z146" s="8">
        <f>IF(Data!Z146&lt;=QUARTILE(Data!Z$4:Z$153,1),1,IF(Data!Z146&lt;=MEDIAN(Data!Z$4:Z$153),2,IF(Data!Z146&lt;=QUARTILE(Data!Z$4:Z$153,3),3,4)))</f>
        <v>1</v>
      </c>
      <c r="AA146" s="8">
        <f>IF(Data!AA146&lt;=QUARTILE(Data!AA$4:AA$153,1),1,IF(Data!AA146&lt;=MEDIAN(Data!AA$4:AA$153),2,IF(Data!AA146&lt;=QUARTILE(Data!AA$4:AA$153,3),3,4)))</f>
        <v>4</v>
      </c>
      <c r="AB146" s="8">
        <f>IF(Data!AB146&lt;=QUARTILE(Data!AB$4:AB$153,1),1,IF(Data!AB146&lt;=MEDIAN(Data!AB$4:AB$153),2,IF(Data!AB146&lt;=QUARTILE(Data!AB$4:AB$153,3),3,4)))</f>
        <v>4</v>
      </c>
      <c r="AC146" s="8">
        <f>IF(Data!AC146&lt;=QUARTILE(Data!AC$4:AC$153,1),1,IF(Data!AC146&lt;=MEDIAN(Data!AC$4:AC$153),2,IF(Data!AC146&lt;=QUARTILE(Data!AC$4:AC$153,3),3,4)))</f>
        <v>3</v>
      </c>
      <c r="AD146" s="8">
        <f>IF(Data!AD146&lt;=QUARTILE(Data!AD$4:AD$153,1),1,IF(Data!AD146&lt;=MEDIAN(Data!AD$4:AD$153),2,IF(Data!AD146&lt;=QUARTILE(Data!AD$4:AD$153,3),3,4)))</f>
        <v>3</v>
      </c>
      <c r="AE146" s="8">
        <f>IF(Data!AE146&lt;=QUARTILE(Data!AE$4:AE$153,1),1,IF(Data!AE146&lt;=MEDIAN(Data!AE$4:AE$153),2,IF(Data!AE146&lt;=QUARTILE(Data!AE$4:AE$153,3),3,4)))</f>
        <v>1</v>
      </c>
      <c r="AF146" s="8">
        <f>IF(Data!AF146&lt;=QUARTILE(Data!AF$4:AF$153,1),1,IF(Data!AF146&lt;=MEDIAN(Data!AF$4:AF$153),2,IF(Data!AF146&lt;=QUARTILE(Data!AF$4:AF$153,3),3,4)))</f>
        <v>2</v>
      </c>
      <c r="AG146" s="8">
        <f>IF(Data!AG146&lt;=QUARTILE(Data!AG$4:AG$153,1),1,IF(Data!AG146&lt;=MEDIAN(Data!AG$4:AG$153),2,IF(Data!AG146&lt;=QUARTILE(Data!AG$4:AG$153,3),3,4)))</f>
        <v>2</v>
      </c>
      <c r="AH146" s="9">
        <f>IF(Data!AH146&lt;=QUARTILE(Data!AH$4:AH$153,1),1,IF(Data!AH146&lt;=MEDIAN(Data!AH$4:AH$153),2,IF(Data!AH146&lt;=QUARTILE(Data!AH$4:AH$153,3),3,4)))</f>
        <v>4</v>
      </c>
    </row>
    <row r="147" spans="1:34" x14ac:dyDescent="0.25">
      <c r="A147" s="7" t="s">
        <v>55</v>
      </c>
      <c r="B147" s="14" t="s">
        <v>72</v>
      </c>
      <c r="C147" s="7">
        <v>27</v>
      </c>
      <c r="D147" s="8">
        <v>55</v>
      </c>
      <c r="E147" s="42" t="s">
        <v>59</v>
      </c>
      <c r="F147" s="9">
        <v>-3.45</v>
      </c>
      <c r="G147" s="7">
        <f>IF(Data!G147&lt;=QUARTILE(Data!G$4:G$153,1),1,IF(Data!G147&lt;=MEDIAN(Data!G$4:G$153),2,IF(Data!G147&lt;=QUARTILE(Data!G$4:G$153,3),3,4)))</f>
        <v>1</v>
      </c>
      <c r="H147" s="8">
        <f>IF(Data!H147&lt;=QUARTILE(Data!H$4:H$153,1),1,IF(Data!H147&lt;=MEDIAN(Data!H$4:H$153),2,IF(Data!H147&lt;=QUARTILE(Data!H$4:H$153,3),3,4)))</f>
        <v>2</v>
      </c>
      <c r="I147" s="8">
        <f>IF(Data!I147&lt;=QUARTILE(Data!I$4:I$153,1),1,IF(Data!I147&lt;=MEDIAN(Data!I$4:I$153),2,IF(Data!I147&lt;=QUARTILE(Data!I$4:I$153,3),3,4)))</f>
        <v>2</v>
      </c>
      <c r="J147" s="8">
        <f>IF(Data!J147&lt;=QUARTILE(Data!J$4:J$153,1),1,IF(Data!J147&lt;=MEDIAN(Data!J$4:J$153),2,IF(Data!J147&lt;=QUARTILE(Data!J$4:J$153,3),3,4)))</f>
        <v>1</v>
      </c>
      <c r="K147" s="8">
        <f>IF(Data!K147&lt;=QUARTILE(Data!K$4:K$153,1),1,IF(Data!K147&lt;=MEDIAN(Data!K$4:K$153),2,IF(Data!K147&lt;=QUARTILE(Data!K$4:K$153,3),3,4)))</f>
        <v>1</v>
      </c>
      <c r="L147" s="8">
        <f>IF(Data!L147&lt;=QUARTILE(Data!L$4:L$153,1),1,IF(Data!L147&lt;=MEDIAN(Data!L$4:L$153),2,IF(Data!L147&lt;=QUARTILE(Data!L$4:L$153,3),3,4)))</f>
        <v>1</v>
      </c>
      <c r="M147" s="8">
        <f>IF(Data!M147&lt;=QUARTILE(Data!M$4:M$153,1),1,IF(Data!M147&lt;=MEDIAN(Data!M$4:M$153),2,IF(Data!M147&lt;=QUARTILE(Data!M$4:M$153,3),3,4)))</f>
        <v>3</v>
      </c>
      <c r="N147" s="8">
        <f>IF(Data!N147&lt;=QUARTILE(Data!N$4:N$153,1),1,IF(Data!N147&lt;=MEDIAN(Data!N$4:N$153),2,IF(Data!N147&lt;=QUARTILE(Data!N$4:N$153,3),3,4)))</f>
        <v>2</v>
      </c>
      <c r="O147" s="8">
        <f>IF(Data!O147&lt;=QUARTILE(Data!O$4:O$153,1),1,IF(Data!O147&lt;=MEDIAN(Data!O$4:O$153),2,IF(Data!O147&lt;=QUARTILE(Data!O$4:O$153,3),3,4)))</f>
        <v>3</v>
      </c>
      <c r="P147" s="8">
        <f>IF(Data!P147&lt;=QUARTILE(Data!P$4:P$153,1),1,IF(Data!P147&lt;=MEDIAN(Data!P$4:P$153),2,IF(Data!P147&lt;=QUARTILE(Data!P$4:P$153,3),3,4)))</f>
        <v>2</v>
      </c>
      <c r="Q147" s="8">
        <f>IF(Data!Q147&lt;=QUARTILE(Data!Q$4:Q$153,1),1,IF(Data!Q147&lt;=MEDIAN(Data!Q$4:Q$153),2,IF(Data!Q147&lt;=QUARTILE(Data!Q$4:Q$153,3),3,4)))</f>
        <v>4</v>
      </c>
      <c r="R147" s="8">
        <f>IF(Data!R147&lt;=QUARTILE(Data!R$4:R$153,1),1,IF(Data!R147&lt;=MEDIAN(Data!R$4:R$153),2,IF(Data!R147&lt;=QUARTILE(Data!R$4:R$153,3),3,4)))</f>
        <v>4</v>
      </c>
      <c r="S147" s="8">
        <f>IF(Data!S147&lt;=QUARTILE(Data!S$4:S$153,1),1,IF(Data!S147&lt;=MEDIAN(Data!S$4:S$153),2,IF(Data!S147&lt;=QUARTILE(Data!S$4:S$153,3),3,4)))</f>
        <v>2</v>
      </c>
      <c r="T147" s="9">
        <f>IF(Data!T147&lt;=QUARTILE(Data!T$4:T$153,1),1,IF(Data!T147&lt;=MEDIAN(Data!T$4:T$153),2,IF(Data!T147&lt;=QUARTILE(Data!T$4:T$153,3),3,4)))</f>
        <v>1</v>
      </c>
      <c r="U147" s="7">
        <f>IF(Data!U147&lt;=QUARTILE(Data!U$4:U$153,1),1,IF(Data!U147&lt;=MEDIAN(Data!U$4:U$153),2,IF(Data!U147&lt;=QUARTILE(Data!U$4:U$153,3),3,4)))</f>
        <v>3</v>
      </c>
      <c r="V147" s="8">
        <f>IF(Data!V147&lt;=QUARTILE(Data!V$4:V$153,1),1,IF(Data!V147&lt;=MEDIAN(Data!V$4:V$153),2,IF(Data!V147&lt;=QUARTILE(Data!V$4:V$153,3),3,4)))</f>
        <v>4</v>
      </c>
      <c r="W147" s="8">
        <f>IF(Data!W147&lt;=QUARTILE(Data!W$4:W$153,1),1,IF(Data!W147&lt;=MEDIAN(Data!W$4:W$153),2,IF(Data!W147&lt;=QUARTILE(Data!W$4:W$153,3),3,4)))</f>
        <v>1</v>
      </c>
      <c r="X147" s="8">
        <f>IF(Data!X147&lt;=QUARTILE(Data!X$4:X$153,1),1,IF(Data!X147&lt;=MEDIAN(Data!X$4:X$153),2,IF(Data!X147&lt;=QUARTILE(Data!X$4:X$153,3),3,4)))</f>
        <v>1</v>
      </c>
      <c r="Y147" s="8">
        <f>IF(Data!Y147&lt;=QUARTILE(Data!Y$4:Y$153,1),1,IF(Data!Y147&lt;=MEDIAN(Data!Y$4:Y$153),2,IF(Data!Y147&lt;=QUARTILE(Data!Y$4:Y$153,3),3,4)))</f>
        <v>1</v>
      </c>
      <c r="Z147" s="8">
        <f>IF(Data!Z147&lt;=QUARTILE(Data!Z$4:Z$153,1),1,IF(Data!Z147&lt;=MEDIAN(Data!Z$4:Z$153),2,IF(Data!Z147&lt;=QUARTILE(Data!Z$4:Z$153,3),3,4)))</f>
        <v>1</v>
      </c>
      <c r="AA147" s="8">
        <f>IF(Data!AA147&lt;=QUARTILE(Data!AA$4:AA$153,1),1,IF(Data!AA147&lt;=MEDIAN(Data!AA$4:AA$153),2,IF(Data!AA147&lt;=QUARTILE(Data!AA$4:AA$153,3),3,4)))</f>
        <v>4</v>
      </c>
      <c r="AB147" s="8">
        <f>IF(Data!AB147&lt;=QUARTILE(Data!AB$4:AB$153,1),1,IF(Data!AB147&lt;=MEDIAN(Data!AB$4:AB$153),2,IF(Data!AB147&lt;=QUARTILE(Data!AB$4:AB$153,3),3,4)))</f>
        <v>1</v>
      </c>
      <c r="AC147" s="8">
        <f>IF(Data!AC147&lt;=QUARTILE(Data!AC$4:AC$153,1),1,IF(Data!AC147&lt;=MEDIAN(Data!AC$4:AC$153),2,IF(Data!AC147&lt;=QUARTILE(Data!AC$4:AC$153,3),3,4)))</f>
        <v>4</v>
      </c>
      <c r="AD147" s="8">
        <f>IF(Data!AD147&lt;=QUARTILE(Data!AD$4:AD$153,1),1,IF(Data!AD147&lt;=MEDIAN(Data!AD$4:AD$153),2,IF(Data!AD147&lt;=QUARTILE(Data!AD$4:AD$153,3),3,4)))</f>
        <v>4</v>
      </c>
      <c r="AE147" s="8">
        <f>IF(Data!AE147&lt;=QUARTILE(Data!AE$4:AE$153,1),1,IF(Data!AE147&lt;=MEDIAN(Data!AE$4:AE$153),2,IF(Data!AE147&lt;=QUARTILE(Data!AE$4:AE$153,3),3,4)))</f>
        <v>3</v>
      </c>
      <c r="AF147" s="8">
        <f>IF(Data!AF147&lt;=QUARTILE(Data!AF$4:AF$153,1),1,IF(Data!AF147&lt;=MEDIAN(Data!AF$4:AF$153),2,IF(Data!AF147&lt;=QUARTILE(Data!AF$4:AF$153,3),3,4)))</f>
        <v>1</v>
      </c>
      <c r="AG147" s="8">
        <f>IF(Data!AG147&lt;=QUARTILE(Data!AG$4:AG$153,1),1,IF(Data!AG147&lt;=MEDIAN(Data!AG$4:AG$153),2,IF(Data!AG147&lt;=QUARTILE(Data!AG$4:AG$153,3),3,4)))</f>
        <v>1</v>
      </c>
      <c r="AH147" s="9">
        <f>IF(Data!AH147&lt;=QUARTILE(Data!AH$4:AH$153,1),1,IF(Data!AH147&lt;=MEDIAN(Data!AH$4:AH$153),2,IF(Data!AH147&lt;=QUARTILE(Data!AH$4:AH$153,3),3,4)))</f>
        <v>2</v>
      </c>
    </row>
    <row r="148" spans="1:34" x14ac:dyDescent="0.25">
      <c r="A148" s="7" t="s">
        <v>20</v>
      </c>
      <c r="B148" s="14" t="s">
        <v>72</v>
      </c>
      <c r="C148" s="7">
        <v>50</v>
      </c>
      <c r="D148" s="8">
        <v>32</v>
      </c>
      <c r="E148" s="42" t="s">
        <v>58</v>
      </c>
      <c r="F148" s="9">
        <v>2.5499999999999998</v>
      </c>
      <c r="G148" s="7">
        <f>IF(Data!G148&lt;=QUARTILE(Data!G$4:G$153,1),1,IF(Data!G148&lt;=MEDIAN(Data!G$4:G$153),2,IF(Data!G148&lt;=QUARTILE(Data!G$4:G$153,3),3,4)))</f>
        <v>4</v>
      </c>
      <c r="H148" s="8">
        <f>IF(Data!H148&lt;=QUARTILE(Data!H$4:H$153,1),1,IF(Data!H148&lt;=MEDIAN(Data!H$4:H$153),2,IF(Data!H148&lt;=QUARTILE(Data!H$4:H$153,3),3,4)))</f>
        <v>4</v>
      </c>
      <c r="I148" s="8">
        <f>IF(Data!I148&lt;=QUARTILE(Data!I$4:I$153,1),1,IF(Data!I148&lt;=MEDIAN(Data!I$4:I$153),2,IF(Data!I148&lt;=QUARTILE(Data!I$4:I$153,3),3,4)))</f>
        <v>3</v>
      </c>
      <c r="J148" s="8">
        <f>IF(Data!J148&lt;=QUARTILE(Data!J$4:J$153,1),1,IF(Data!J148&lt;=MEDIAN(Data!J$4:J$153),2,IF(Data!J148&lt;=QUARTILE(Data!J$4:J$153,3),3,4)))</f>
        <v>2</v>
      </c>
      <c r="K148" s="8">
        <f>IF(Data!K148&lt;=QUARTILE(Data!K$4:K$153,1),1,IF(Data!K148&lt;=MEDIAN(Data!K$4:K$153),2,IF(Data!K148&lt;=QUARTILE(Data!K$4:K$153,3),3,4)))</f>
        <v>3</v>
      </c>
      <c r="L148" s="8">
        <f>IF(Data!L148&lt;=QUARTILE(Data!L$4:L$153,1),1,IF(Data!L148&lt;=MEDIAN(Data!L$4:L$153),2,IF(Data!L148&lt;=QUARTILE(Data!L$4:L$153,3),3,4)))</f>
        <v>2</v>
      </c>
      <c r="M148" s="8">
        <f>IF(Data!M148&lt;=QUARTILE(Data!M$4:M$153,1),1,IF(Data!M148&lt;=MEDIAN(Data!M$4:M$153),2,IF(Data!M148&lt;=QUARTILE(Data!M$4:M$153,3),3,4)))</f>
        <v>4</v>
      </c>
      <c r="N148" s="8">
        <f>IF(Data!N148&lt;=QUARTILE(Data!N$4:N$153,1),1,IF(Data!N148&lt;=MEDIAN(Data!N$4:N$153),2,IF(Data!N148&lt;=QUARTILE(Data!N$4:N$153,3),3,4)))</f>
        <v>2</v>
      </c>
      <c r="O148" s="8">
        <f>IF(Data!O148&lt;=QUARTILE(Data!O$4:O$153,1),1,IF(Data!O148&lt;=MEDIAN(Data!O$4:O$153),2,IF(Data!O148&lt;=QUARTILE(Data!O$4:O$153,3),3,4)))</f>
        <v>4</v>
      </c>
      <c r="P148" s="8">
        <f>IF(Data!P148&lt;=QUARTILE(Data!P$4:P$153,1),1,IF(Data!P148&lt;=MEDIAN(Data!P$4:P$153),2,IF(Data!P148&lt;=QUARTILE(Data!P$4:P$153,3),3,4)))</f>
        <v>4</v>
      </c>
      <c r="Q148" s="8">
        <f>IF(Data!Q148&lt;=QUARTILE(Data!Q$4:Q$153,1),1,IF(Data!Q148&lt;=MEDIAN(Data!Q$4:Q$153),2,IF(Data!Q148&lt;=QUARTILE(Data!Q$4:Q$153,3),3,4)))</f>
        <v>1</v>
      </c>
      <c r="R148" s="8">
        <f>IF(Data!R148&lt;=QUARTILE(Data!R$4:R$153,1),1,IF(Data!R148&lt;=MEDIAN(Data!R$4:R$153),2,IF(Data!R148&lt;=QUARTILE(Data!R$4:R$153,3),3,4)))</f>
        <v>1</v>
      </c>
      <c r="S148" s="8">
        <f>IF(Data!S148&lt;=QUARTILE(Data!S$4:S$153,1),1,IF(Data!S148&lt;=MEDIAN(Data!S$4:S$153),2,IF(Data!S148&lt;=QUARTILE(Data!S$4:S$153,3),3,4)))</f>
        <v>1</v>
      </c>
      <c r="T148" s="9">
        <f>IF(Data!T148&lt;=QUARTILE(Data!T$4:T$153,1),1,IF(Data!T148&lt;=MEDIAN(Data!T$4:T$153),2,IF(Data!T148&lt;=QUARTILE(Data!T$4:T$153,3),3,4)))</f>
        <v>4</v>
      </c>
      <c r="U148" s="7">
        <f>IF(Data!U148&lt;=QUARTILE(Data!U$4:U$153,1),1,IF(Data!U148&lt;=MEDIAN(Data!U$4:U$153),2,IF(Data!U148&lt;=QUARTILE(Data!U$4:U$153,3),3,4)))</f>
        <v>4</v>
      </c>
      <c r="V148" s="8">
        <f>IF(Data!V148&lt;=QUARTILE(Data!V$4:V$153,1),1,IF(Data!V148&lt;=MEDIAN(Data!V$4:V$153),2,IF(Data!V148&lt;=QUARTILE(Data!V$4:V$153,3),3,4)))</f>
        <v>4</v>
      </c>
      <c r="W148" s="8">
        <f>IF(Data!W148&lt;=QUARTILE(Data!W$4:W$153,1),1,IF(Data!W148&lt;=MEDIAN(Data!W$4:W$153),2,IF(Data!W148&lt;=QUARTILE(Data!W$4:W$153,3),3,4)))</f>
        <v>2</v>
      </c>
      <c r="X148" s="8">
        <f>IF(Data!X148&lt;=QUARTILE(Data!X$4:X$153,1),1,IF(Data!X148&lt;=MEDIAN(Data!X$4:X$153),2,IF(Data!X148&lt;=QUARTILE(Data!X$4:X$153,3),3,4)))</f>
        <v>2</v>
      </c>
      <c r="Y148" s="8">
        <f>IF(Data!Y148&lt;=QUARTILE(Data!Y$4:Y$153,1),1,IF(Data!Y148&lt;=MEDIAN(Data!Y$4:Y$153),2,IF(Data!Y148&lt;=QUARTILE(Data!Y$4:Y$153,3),3,4)))</f>
        <v>2</v>
      </c>
      <c r="Z148" s="8">
        <f>IF(Data!Z148&lt;=QUARTILE(Data!Z$4:Z$153,1),1,IF(Data!Z148&lt;=MEDIAN(Data!Z$4:Z$153),2,IF(Data!Z148&lt;=QUARTILE(Data!Z$4:Z$153,3),3,4)))</f>
        <v>2</v>
      </c>
      <c r="AA148" s="8">
        <f>IF(Data!AA148&lt;=QUARTILE(Data!AA$4:AA$153,1),1,IF(Data!AA148&lt;=MEDIAN(Data!AA$4:AA$153),2,IF(Data!AA148&lt;=QUARTILE(Data!AA$4:AA$153,3),3,4)))</f>
        <v>4</v>
      </c>
      <c r="AB148" s="8">
        <f>IF(Data!AB148&lt;=QUARTILE(Data!AB$4:AB$153,1),1,IF(Data!AB148&lt;=MEDIAN(Data!AB$4:AB$153),2,IF(Data!AB148&lt;=QUARTILE(Data!AB$4:AB$153,3),3,4)))</f>
        <v>3</v>
      </c>
      <c r="AC148" s="8">
        <f>IF(Data!AC148&lt;=QUARTILE(Data!AC$4:AC$153,1),1,IF(Data!AC148&lt;=MEDIAN(Data!AC$4:AC$153),2,IF(Data!AC148&lt;=QUARTILE(Data!AC$4:AC$153,3),3,4)))</f>
        <v>3</v>
      </c>
      <c r="AD148" s="8">
        <f>IF(Data!AD148&lt;=QUARTILE(Data!AD$4:AD$153,1),1,IF(Data!AD148&lt;=MEDIAN(Data!AD$4:AD$153),2,IF(Data!AD148&lt;=QUARTILE(Data!AD$4:AD$153,3),3,4)))</f>
        <v>3</v>
      </c>
      <c r="AE148" s="8">
        <f>IF(Data!AE148&lt;=QUARTILE(Data!AE$4:AE$153,1),1,IF(Data!AE148&lt;=MEDIAN(Data!AE$4:AE$153),2,IF(Data!AE148&lt;=QUARTILE(Data!AE$4:AE$153,3),3,4)))</f>
        <v>2</v>
      </c>
      <c r="AF148" s="8">
        <f>IF(Data!AF148&lt;=QUARTILE(Data!AF$4:AF$153,1),1,IF(Data!AF148&lt;=MEDIAN(Data!AF$4:AF$153),2,IF(Data!AF148&lt;=QUARTILE(Data!AF$4:AF$153,3),3,4)))</f>
        <v>3</v>
      </c>
      <c r="AG148" s="8">
        <f>IF(Data!AG148&lt;=QUARTILE(Data!AG$4:AG$153,1),1,IF(Data!AG148&lt;=MEDIAN(Data!AG$4:AG$153),2,IF(Data!AG148&lt;=QUARTILE(Data!AG$4:AG$153,3),3,4)))</f>
        <v>2</v>
      </c>
      <c r="AH148" s="9">
        <f>IF(Data!AH148&lt;=QUARTILE(Data!AH$4:AH$153,1),1,IF(Data!AH148&lt;=MEDIAN(Data!AH$4:AH$153),2,IF(Data!AH148&lt;=QUARTILE(Data!AH$4:AH$153,3),3,4)))</f>
        <v>3</v>
      </c>
    </row>
    <row r="149" spans="1:34" x14ac:dyDescent="0.25">
      <c r="A149" s="7" t="s">
        <v>76</v>
      </c>
      <c r="B149" s="14" t="s">
        <v>72</v>
      </c>
      <c r="C149" s="7">
        <v>59</v>
      </c>
      <c r="D149" s="8">
        <v>23</v>
      </c>
      <c r="E149" s="42" t="s">
        <v>58</v>
      </c>
      <c r="F149" s="9">
        <v>7.84</v>
      </c>
      <c r="G149" s="7">
        <f>IF(Data!G149&lt;=QUARTILE(Data!G$4:G$153,1),1,IF(Data!G149&lt;=MEDIAN(Data!G$4:G$153),2,IF(Data!G149&lt;=QUARTILE(Data!G$4:G$153,3),3,4)))</f>
        <v>2</v>
      </c>
      <c r="H149" s="8">
        <f>IF(Data!H149&lt;=QUARTILE(Data!H$4:H$153,1),1,IF(Data!H149&lt;=MEDIAN(Data!H$4:H$153),2,IF(Data!H149&lt;=QUARTILE(Data!H$4:H$153,3),3,4)))</f>
        <v>2</v>
      </c>
      <c r="I149" s="8">
        <f>IF(Data!I149&lt;=QUARTILE(Data!I$4:I$153,1),1,IF(Data!I149&lt;=MEDIAN(Data!I$4:I$153),2,IF(Data!I149&lt;=QUARTILE(Data!I$4:I$153,3),3,4)))</f>
        <v>3</v>
      </c>
      <c r="J149" s="8">
        <f>IF(Data!J149&lt;=QUARTILE(Data!J$4:J$153,1),1,IF(Data!J149&lt;=MEDIAN(Data!J$4:J$153),2,IF(Data!J149&lt;=QUARTILE(Data!J$4:J$153,3),3,4)))</f>
        <v>2</v>
      </c>
      <c r="K149" s="8">
        <f>IF(Data!K149&lt;=QUARTILE(Data!K$4:K$153,1),1,IF(Data!K149&lt;=MEDIAN(Data!K$4:K$153),2,IF(Data!K149&lt;=QUARTILE(Data!K$4:K$153,3),3,4)))</f>
        <v>2</v>
      </c>
      <c r="L149" s="8">
        <f>IF(Data!L149&lt;=QUARTILE(Data!L$4:L$153,1),1,IF(Data!L149&lt;=MEDIAN(Data!L$4:L$153),2,IF(Data!L149&lt;=QUARTILE(Data!L$4:L$153,3),3,4)))</f>
        <v>3</v>
      </c>
      <c r="M149" s="8">
        <f>IF(Data!M149&lt;=QUARTILE(Data!M$4:M$153,1),1,IF(Data!M149&lt;=MEDIAN(Data!M$4:M$153),2,IF(Data!M149&lt;=QUARTILE(Data!M$4:M$153,3),3,4)))</f>
        <v>3</v>
      </c>
      <c r="N149" s="8">
        <f>IF(Data!N149&lt;=QUARTILE(Data!N$4:N$153,1),1,IF(Data!N149&lt;=MEDIAN(Data!N$4:N$153),2,IF(Data!N149&lt;=QUARTILE(Data!N$4:N$153,3),3,4)))</f>
        <v>3</v>
      </c>
      <c r="O149" s="8">
        <f>IF(Data!O149&lt;=QUARTILE(Data!O$4:O$153,1),1,IF(Data!O149&lt;=MEDIAN(Data!O$4:O$153),2,IF(Data!O149&lt;=QUARTILE(Data!O$4:O$153,3),3,4)))</f>
        <v>3</v>
      </c>
      <c r="P149" s="8">
        <f>IF(Data!P149&lt;=QUARTILE(Data!P$4:P$153,1),1,IF(Data!P149&lt;=MEDIAN(Data!P$4:P$153),2,IF(Data!P149&lt;=QUARTILE(Data!P$4:P$153,3),3,4)))</f>
        <v>3</v>
      </c>
      <c r="Q149" s="8">
        <f>IF(Data!Q149&lt;=QUARTILE(Data!Q$4:Q$153,1),1,IF(Data!Q149&lt;=MEDIAN(Data!Q$4:Q$153),2,IF(Data!Q149&lt;=QUARTILE(Data!Q$4:Q$153,3),3,4)))</f>
        <v>4</v>
      </c>
      <c r="R149" s="8">
        <f>IF(Data!R149&lt;=QUARTILE(Data!R$4:R$153,1),1,IF(Data!R149&lt;=MEDIAN(Data!R$4:R$153),2,IF(Data!R149&lt;=QUARTILE(Data!R$4:R$153,3),3,4)))</f>
        <v>1</v>
      </c>
      <c r="S149" s="8">
        <f>IF(Data!S149&lt;=QUARTILE(Data!S$4:S$153,1),1,IF(Data!S149&lt;=MEDIAN(Data!S$4:S$153),2,IF(Data!S149&lt;=QUARTILE(Data!S$4:S$153,3),3,4)))</f>
        <v>2</v>
      </c>
      <c r="T149" s="9">
        <f>IF(Data!T149&lt;=QUARTILE(Data!T$4:T$153,1),1,IF(Data!T149&lt;=MEDIAN(Data!T$4:T$153),2,IF(Data!T149&lt;=QUARTILE(Data!T$4:T$153,3),3,4)))</f>
        <v>2</v>
      </c>
      <c r="U149" s="7">
        <f>IF(Data!U149&lt;=QUARTILE(Data!U$4:U$153,1),1,IF(Data!U149&lt;=MEDIAN(Data!U$4:U$153),2,IF(Data!U149&lt;=QUARTILE(Data!U$4:U$153,3),3,4)))</f>
        <v>1</v>
      </c>
      <c r="V149" s="8">
        <f>IF(Data!V149&lt;=QUARTILE(Data!V$4:V$153,1),1,IF(Data!V149&lt;=MEDIAN(Data!V$4:V$153),2,IF(Data!V149&lt;=QUARTILE(Data!V$4:V$153,3),3,4)))</f>
        <v>1</v>
      </c>
      <c r="W149" s="8">
        <f>IF(Data!W149&lt;=QUARTILE(Data!W$4:W$153,1),1,IF(Data!W149&lt;=MEDIAN(Data!W$4:W$153),2,IF(Data!W149&lt;=QUARTILE(Data!W$4:W$153,3),3,4)))</f>
        <v>1</v>
      </c>
      <c r="X149" s="8">
        <f>IF(Data!X149&lt;=QUARTILE(Data!X$4:X$153,1),1,IF(Data!X149&lt;=MEDIAN(Data!X$4:X$153),2,IF(Data!X149&lt;=QUARTILE(Data!X$4:X$153,3),3,4)))</f>
        <v>1</v>
      </c>
      <c r="Y149" s="8">
        <f>IF(Data!Y149&lt;=QUARTILE(Data!Y$4:Y$153,1),1,IF(Data!Y149&lt;=MEDIAN(Data!Y$4:Y$153),2,IF(Data!Y149&lt;=QUARTILE(Data!Y$4:Y$153,3),3,4)))</f>
        <v>2</v>
      </c>
      <c r="Z149" s="8">
        <f>IF(Data!Z149&lt;=QUARTILE(Data!Z$4:Z$153,1),1,IF(Data!Z149&lt;=MEDIAN(Data!Z$4:Z$153),2,IF(Data!Z149&lt;=QUARTILE(Data!Z$4:Z$153,3),3,4)))</f>
        <v>2</v>
      </c>
      <c r="AA149" s="8">
        <f>IF(Data!AA149&lt;=QUARTILE(Data!AA$4:AA$153,1),1,IF(Data!AA149&lt;=MEDIAN(Data!AA$4:AA$153),2,IF(Data!AA149&lt;=QUARTILE(Data!AA$4:AA$153,3),3,4)))</f>
        <v>2</v>
      </c>
      <c r="AB149" s="8">
        <f>IF(Data!AB149&lt;=QUARTILE(Data!AB$4:AB$153,1),1,IF(Data!AB149&lt;=MEDIAN(Data!AB$4:AB$153),2,IF(Data!AB149&lt;=QUARTILE(Data!AB$4:AB$153,3),3,4)))</f>
        <v>2</v>
      </c>
      <c r="AC149" s="8">
        <f>IF(Data!AC149&lt;=QUARTILE(Data!AC$4:AC$153,1),1,IF(Data!AC149&lt;=MEDIAN(Data!AC$4:AC$153),2,IF(Data!AC149&lt;=QUARTILE(Data!AC$4:AC$153,3),3,4)))</f>
        <v>1</v>
      </c>
      <c r="AD149" s="8">
        <f>IF(Data!AD149&lt;=QUARTILE(Data!AD$4:AD$153,1),1,IF(Data!AD149&lt;=MEDIAN(Data!AD$4:AD$153),2,IF(Data!AD149&lt;=QUARTILE(Data!AD$4:AD$153,3),3,4)))</f>
        <v>2</v>
      </c>
      <c r="AE149" s="8">
        <f>IF(Data!AE149&lt;=QUARTILE(Data!AE$4:AE$153,1),1,IF(Data!AE149&lt;=MEDIAN(Data!AE$4:AE$153),2,IF(Data!AE149&lt;=QUARTILE(Data!AE$4:AE$153,3),3,4)))</f>
        <v>3</v>
      </c>
      <c r="AF149" s="8">
        <f>IF(Data!AF149&lt;=QUARTILE(Data!AF$4:AF$153,1),1,IF(Data!AF149&lt;=MEDIAN(Data!AF$4:AF$153),2,IF(Data!AF149&lt;=QUARTILE(Data!AF$4:AF$153,3),3,4)))</f>
        <v>3</v>
      </c>
      <c r="AG149" s="8">
        <f>IF(Data!AG149&lt;=QUARTILE(Data!AG$4:AG$153,1),1,IF(Data!AG149&lt;=MEDIAN(Data!AG$4:AG$153),2,IF(Data!AG149&lt;=QUARTILE(Data!AG$4:AG$153,3),3,4)))</f>
        <v>3</v>
      </c>
      <c r="AH149" s="9">
        <f>IF(Data!AH149&lt;=QUARTILE(Data!AH$4:AH$153,1),1,IF(Data!AH149&lt;=MEDIAN(Data!AH$4:AH$153),2,IF(Data!AH149&lt;=QUARTILE(Data!AH$4:AH$153,3),3,4)))</f>
        <v>1</v>
      </c>
    </row>
    <row r="150" spans="1:34" x14ac:dyDescent="0.25">
      <c r="A150" s="7" t="s">
        <v>56</v>
      </c>
      <c r="B150" s="14" t="s">
        <v>72</v>
      </c>
      <c r="C150" s="7">
        <v>52</v>
      </c>
      <c r="D150" s="8">
        <v>30</v>
      </c>
      <c r="E150" s="42" t="s">
        <v>58</v>
      </c>
      <c r="F150" s="9">
        <v>2.59</v>
      </c>
      <c r="G150" s="7">
        <f>IF(Data!G150&lt;=QUARTILE(Data!G$4:G$153,1),1,IF(Data!G150&lt;=MEDIAN(Data!G$4:G$153),2,IF(Data!G150&lt;=QUARTILE(Data!G$4:G$153,3),3,4)))</f>
        <v>1</v>
      </c>
      <c r="H150" s="8">
        <f>IF(Data!H150&lt;=QUARTILE(Data!H$4:H$153,1),1,IF(Data!H150&lt;=MEDIAN(Data!H$4:H$153),2,IF(Data!H150&lt;=QUARTILE(Data!H$4:H$153,3),3,4)))</f>
        <v>2</v>
      </c>
      <c r="I150" s="8">
        <f>IF(Data!I150&lt;=QUARTILE(Data!I$4:I$153,1),1,IF(Data!I150&lt;=MEDIAN(Data!I$4:I$153),2,IF(Data!I150&lt;=QUARTILE(Data!I$4:I$153,3),3,4)))</f>
        <v>4</v>
      </c>
      <c r="J150" s="8">
        <f>IF(Data!J150&lt;=QUARTILE(Data!J$4:J$153,1),1,IF(Data!J150&lt;=MEDIAN(Data!J$4:J$153),2,IF(Data!J150&lt;=QUARTILE(Data!J$4:J$153,3),3,4)))</f>
        <v>4</v>
      </c>
      <c r="K150" s="8">
        <f>IF(Data!K150&lt;=QUARTILE(Data!K$4:K$153,1),1,IF(Data!K150&lt;=MEDIAN(Data!K$4:K$153),2,IF(Data!K150&lt;=QUARTILE(Data!K$4:K$153,3),3,4)))</f>
        <v>4</v>
      </c>
      <c r="L150" s="8">
        <f>IF(Data!L150&lt;=QUARTILE(Data!L$4:L$153,1),1,IF(Data!L150&lt;=MEDIAN(Data!L$4:L$153),2,IF(Data!L150&lt;=QUARTILE(Data!L$4:L$153,3),3,4)))</f>
        <v>3</v>
      </c>
      <c r="M150" s="8">
        <f>IF(Data!M150&lt;=QUARTILE(Data!M$4:M$153,1),1,IF(Data!M150&lt;=MEDIAN(Data!M$4:M$153),2,IF(Data!M150&lt;=QUARTILE(Data!M$4:M$153,3),3,4)))</f>
        <v>4</v>
      </c>
      <c r="N150" s="8">
        <f>IF(Data!N150&lt;=QUARTILE(Data!N$4:N$153,1),1,IF(Data!N150&lt;=MEDIAN(Data!N$4:N$153),2,IF(Data!N150&lt;=QUARTILE(Data!N$4:N$153,3),3,4)))</f>
        <v>1</v>
      </c>
      <c r="O150" s="8">
        <f>IF(Data!O150&lt;=QUARTILE(Data!O$4:O$153,1),1,IF(Data!O150&lt;=MEDIAN(Data!O$4:O$153),2,IF(Data!O150&lt;=QUARTILE(Data!O$4:O$153,3),3,4)))</f>
        <v>1</v>
      </c>
      <c r="P150" s="8">
        <f>IF(Data!P150&lt;=QUARTILE(Data!P$4:P$153,1),1,IF(Data!P150&lt;=MEDIAN(Data!P$4:P$153),2,IF(Data!P150&lt;=QUARTILE(Data!P$4:P$153,3),3,4)))</f>
        <v>1</v>
      </c>
      <c r="Q150" s="8">
        <f>IF(Data!Q150&lt;=QUARTILE(Data!Q$4:Q$153,1),1,IF(Data!Q150&lt;=MEDIAN(Data!Q$4:Q$153),2,IF(Data!Q150&lt;=QUARTILE(Data!Q$4:Q$153,3),3,4)))</f>
        <v>1</v>
      </c>
      <c r="R150" s="8">
        <f>IF(Data!R150&lt;=QUARTILE(Data!R$4:R$153,1),1,IF(Data!R150&lt;=MEDIAN(Data!R$4:R$153),2,IF(Data!R150&lt;=QUARTILE(Data!R$4:R$153,3),3,4)))</f>
        <v>1</v>
      </c>
      <c r="S150" s="8">
        <f>IF(Data!S150&lt;=QUARTILE(Data!S$4:S$153,1),1,IF(Data!S150&lt;=MEDIAN(Data!S$4:S$153),2,IF(Data!S150&lt;=QUARTILE(Data!S$4:S$153,3),3,4)))</f>
        <v>4</v>
      </c>
      <c r="T150" s="9">
        <f>IF(Data!T150&lt;=QUARTILE(Data!T$4:T$153,1),1,IF(Data!T150&lt;=MEDIAN(Data!T$4:T$153),2,IF(Data!T150&lt;=QUARTILE(Data!T$4:T$153,3),3,4)))</f>
        <v>3</v>
      </c>
      <c r="U150" s="7">
        <f>IF(Data!U150&lt;=QUARTILE(Data!U$4:U$153,1),1,IF(Data!U150&lt;=MEDIAN(Data!U$4:U$153),2,IF(Data!U150&lt;=QUARTILE(Data!U$4:U$153,3),3,4)))</f>
        <v>2</v>
      </c>
      <c r="V150" s="8">
        <f>IF(Data!V150&lt;=QUARTILE(Data!V$4:V$153,1),1,IF(Data!V150&lt;=MEDIAN(Data!V$4:V$153),2,IF(Data!V150&lt;=QUARTILE(Data!V$4:V$153,3),3,4)))</f>
        <v>1</v>
      </c>
      <c r="W150" s="8">
        <f>IF(Data!W150&lt;=QUARTILE(Data!W$4:W$153,1),1,IF(Data!W150&lt;=MEDIAN(Data!W$4:W$153),2,IF(Data!W150&lt;=QUARTILE(Data!W$4:W$153,3),3,4)))</f>
        <v>2</v>
      </c>
      <c r="X150" s="8">
        <f>IF(Data!X150&lt;=QUARTILE(Data!X$4:X$153,1),1,IF(Data!X150&lt;=MEDIAN(Data!X$4:X$153),2,IF(Data!X150&lt;=QUARTILE(Data!X$4:X$153,3),3,4)))</f>
        <v>2</v>
      </c>
      <c r="Y150" s="8">
        <f>IF(Data!Y150&lt;=QUARTILE(Data!Y$4:Y$153,1),1,IF(Data!Y150&lt;=MEDIAN(Data!Y$4:Y$153),2,IF(Data!Y150&lt;=QUARTILE(Data!Y$4:Y$153,3),3,4)))</f>
        <v>3</v>
      </c>
      <c r="Z150" s="8">
        <f>IF(Data!Z150&lt;=QUARTILE(Data!Z$4:Z$153,1),1,IF(Data!Z150&lt;=MEDIAN(Data!Z$4:Z$153),2,IF(Data!Z150&lt;=QUARTILE(Data!Z$4:Z$153,3),3,4)))</f>
        <v>3</v>
      </c>
      <c r="AA150" s="8">
        <f>IF(Data!AA150&lt;=QUARTILE(Data!AA$4:AA$153,1),1,IF(Data!AA150&lt;=MEDIAN(Data!AA$4:AA$153),2,IF(Data!AA150&lt;=QUARTILE(Data!AA$4:AA$153,3),3,4)))</f>
        <v>3</v>
      </c>
      <c r="AB150" s="8">
        <f>IF(Data!AB150&lt;=QUARTILE(Data!AB$4:AB$153,1),1,IF(Data!AB150&lt;=MEDIAN(Data!AB$4:AB$153),2,IF(Data!AB150&lt;=QUARTILE(Data!AB$4:AB$153,3),3,4)))</f>
        <v>1</v>
      </c>
      <c r="AC150" s="8">
        <f>IF(Data!AC150&lt;=QUARTILE(Data!AC$4:AC$153,1),1,IF(Data!AC150&lt;=MEDIAN(Data!AC$4:AC$153),2,IF(Data!AC150&lt;=QUARTILE(Data!AC$4:AC$153,3),3,4)))</f>
        <v>2</v>
      </c>
      <c r="AD150" s="8">
        <f>IF(Data!AD150&lt;=QUARTILE(Data!AD$4:AD$153,1),1,IF(Data!AD150&lt;=MEDIAN(Data!AD$4:AD$153),2,IF(Data!AD150&lt;=QUARTILE(Data!AD$4:AD$153,3),3,4)))</f>
        <v>1</v>
      </c>
      <c r="AE150" s="8">
        <f>IF(Data!AE150&lt;=QUARTILE(Data!AE$4:AE$153,1),1,IF(Data!AE150&lt;=MEDIAN(Data!AE$4:AE$153),2,IF(Data!AE150&lt;=QUARTILE(Data!AE$4:AE$153,3),3,4)))</f>
        <v>2</v>
      </c>
      <c r="AF150" s="8">
        <f>IF(Data!AF150&lt;=QUARTILE(Data!AF$4:AF$153,1),1,IF(Data!AF150&lt;=MEDIAN(Data!AF$4:AF$153),2,IF(Data!AF150&lt;=QUARTILE(Data!AF$4:AF$153,3),3,4)))</f>
        <v>1</v>
      </c>
      <c r="AG150" s="8">
        <f>IF(Data!AG150&lt;=QUARTILE(Data!AG$4:AG$153,1),1,IF(Data!AG150&lt;=MEDIAN(Data!AG$4:AG$153),2,IF(Data!AG150&lt;=QUARTILE(Data!AG$4:AG$153,3),3,4)))</f>
        <v>4</v>
      </c>
      <c r="AH150" s="9">
        <f>IF(Data!AH150&lt;=QUARTILE(Data!AH$4:AH$153,1),1,IF(Data!AH150&lt;=MEDIAN(Data!AH$4:AH$153),2,IF(Data!AH150&lt;=QUARTILE(Data!AH$4:AH$153,3),3,4)))</f>
        <v>2</v>
      </c>
    </row>
    <row r="151" spans="1:34" x14ac:dyDescent="0.25">
      <c r="A151" s="7" t="s">
        <v>22</v>
      </c>
      <c r="B151" s="14" t="s">
        <v>72</v>
      </c>
      <c r="C151" s="7">
        <v>33</v>
      </c>
      <c r="D151" s="8">
        <v>49</v>
      </c>
      <c r="E151" s="42" t="s">
        <v>59</v>
      </c>
      <c r="F151" s="9">
        <v>-1.81</v>
      </c>
      <c r="G151" s="7">
        <f>IF(Data!G151&lt;=QUARTILE(Data!G$4:G$153,1),1,IF(Data!G151&lt;=MEDIAN(Data!G$4:G$153),2,IF(Data!G151&lt;=QUARTILE(Data!G$4:G$153,3),3,4)))</f>
        <v>2</v>
      </c>
      <c r="H151" s="8">
        <f>IF(Data!H151&lt;=QUARTILE(Data!H$4:H$153,1),1,IF(Data!H151&lt;=MEDIAN(Data!H$4:H$153),2,IF(Data!H151&lt;=QUARTILE(Data!H$4:H$153,3),3,4)))</f>
        <v>3</v>
      </c>
      <c r="I151" s="8">
        <f>IF(Data!I151&lt;=QUARTILE(Data!I$4:I$153,1),1,IF(Data!I151&lt;=MEDIAN(Data!I$4:I$153),2,IF(Data!I151&lt;=QUARTILE(Data!I$4:I$153,3),3,4)))</f>
        <v>4</v>
      </c>
      <c r="J151" s="8">
        <f>IF(Data!J151&lt;=QUARTILE(Data!J$4:J$153,1),1,IF(Data!J151&lt;=MEDIAN(Data!J$4:J$153),2,IF(Data!J151&lt;=QUARTILE(Data!J$4:J$153,3),3,4)))</f>
        <v>4</v>
      </c>
      <c r="K151" s="8">
        <f>IF(Data!K151&lt;=QUARTILE(Data!K$4:K$153,1),1,IF(Data!K151&lt;=MEDIAN(Data!K$4:K$153),2,IF(Data!K151&lt;=QUARTILE(Data!K$4:K$153,3),3,4)))</f>
        <v>3</v>
      </c>
      <c r="L151" s="8">
        <f>IF(Data!L151&lt;=QUARTILE(Data!L$4:L$153,1),1,IF(Data!L151&lt;=MEDIAN(Data!L$4:L$153),2,IF(Data!L151&lt;=QUARTILE(Data!L$4:L$153,3),3,4)))</f>
        <v>3</v>
      </c>
      <c r="M151" s="8">
        <f>IF(Data!M151&lt;=QUARTILE(Data!M$4:M$153,1),1,IF(Data!M151&lt;=MEDIAN(Data!M$4:M$153),2,IF(Data!M151&lt;=QUARTILE(Data!M$4:M$153,3),3,4)))</f>
        <v>1</v>
      </c>
      <c r="N151" s="8">
        <f>IF(Data!N151&lt;=QUARTILE(Data!N$4:N$153,1),1,IF(Data!N151&lt;=MEDIAN(Data!N$4:N$153),2,IF(Data!N151&lt;=QUARTILE(Data!N$4:N$153,3),3,4)))</f>
        <v>2</v>
      </c>
      <c r="O151" s="8">
        <f>IF(Data!O151&lt;=QUARTILE(Data!O$4:O$153,1),1,IF(Data!O151&lt;=MEDIAN(Data!O$4:O$153),2,IF(Data!O151&lt;=QUARTILE(Data!O$4:O$153,3),3,4)))</f>
        <v>2</v>
      </c>
      <c r="P151" s="8">
        <f>IF(Data!P151&lt;=QUARTILE(Data!P$4:P$153,1),1,IF(Data!P151&lt;=MEDIAN(Data!P$4:P$153),2,IF(Data!P151&lt;=QUARTILE(Data!P$4:P$153,3),3,4)))</f>
        <v>3</v>
      </c>
      <c r="Q151" s="8">
        <f>IF(Data!Q151&lt;=QUARTILE(Data!Q$4:Q$153,1),1,IF(Data!Q151&lt;=MEDIAN(Data!Q$4:Q$153),2,IF(Data!Q151&lt;=QUARTILE(Data!Q$4:Q$153,3),3,4)))</f>
        <v>1</v>
      </c>
      <c r="R151" s="8">
        <f>IF(Data!R151&lt;=QUARTILE(Data!R$4:R$153,1),1,IF(Data!R151&lt;=MEDIAN(Data!R$4:R$153),2,IF(Data!R151&lt;=QUARTILE(Data!R$4:R$153,3),3,4)))</f>
        <v>1</v>
      </c>
      <c r="S151" s="8">
        <f>IF(Data!S151&lt;=QUARTILE(Data!S$4:S$153,1),1,IF(Data!S151&lt;=MEDIAN(Data!S$4:S$153),2,IF(Data!S151&lt;=QUARTILE(Data!S$4:S$153,3),3,4)))</f>
        <v>3</v>
      </c>
      <c r="T151" s="9">
        <f>IF(Data!T151&lt;=QUARTILE(Data!T$4:T$153,1),1,IF(Data!T151&lt;=MEDIAN(Data!T$4:T$153),2,IF(Data!T151&lt;=QUARTILE(Data!T$4:T$153,3),3,4)))</f>
        <v>3</v>
      </c>
      <c r="U151" s="7">
        <f>IF(Data!U151&lt;=QUARTILE(Data!U$4:U$153,1),1,IF(Data!U151&lt;=MEDIAN(Data!U$4:U$153),2,IF(Data!U151&lt;=QUARTILE(Data!U$4:U$153,3),3,4)))</f>
        <v>4</v>
      </c>
      <c r="V151" s="8">
        <f>IF(Data!V151&lt;=QUARTILE(Data!V$4:V$153,1),1,IF(Data!V151&lt;=MEDIAN(Data!V$4:V$153),2,IF(Data!V151&lt;=QUARTILE(Data!V$4:V$153,3),3,4)))</f>
        <v>3</v>
      </c>
      <c r="W151" s="8">
        <f>IF(Data!W151&lt;=QUARTILE(Data!W$4:W$153,1),1,IF(Data!W151&lt;=MEDIAN(Data!W$4:W$153),2,IF(Data!W151&lt;=QUARTILE(Data!W$4:W$153,3),3,4)))</f>
        <v>1</v>
      </c>
      <c r="X151" s="8">
        <f>IF(Data!X151&lt;=QUARTILE(Data!X$4:X$153,1),1,IF(Data!X151&lt;=MEDIAN(Data!X$4:X$153),2,IF(Data!X151&lt;=QUARTILE(Data!X$4:X$153,3),3,4)))</f>
        <v>1</v>
      </c>
      <c r="Y151" s="8">
        <f>IF(Data!Y151&lt;=QUARTILE(Data!Y$4:Y$153,1),1,IF(Data!Y151&lt;=MEDIAN(Data!Y$4:Y$153),2,IF(Data!Y151&lt;=QUARTILE(Data!Y$4:Y$153,3),3,4)))</f>
        <v>3</v>
      </c>
      <c r="Z151" s="8">
        <f>IF(Data!Z151&lt;=QUARTILE(Data!Z$4:Z$153,1),1,IF(Data!Z151&lt;=MEDIAN(Data!Z$4:Z$153),2,IF(Data!Z151&lt;=QUARTILE(Data!Z$4:Z$153,3),3,4)))</f>
        <v>3</v>
      </c>
      <c r="AA151" s="8">
        <f>IF(Data!AA151&lt;=QUARTILE(Data!AA$4:AA$153,1),1,IF(Data!AA151&lt;=MEDIAN(Data!AA$4:AA$153),2,IF(Data!AA151&lt;=QUARTILE(Data!AA$4:AA$153,3),3,4)))</f>
        <v>4</v>
      </c>
      <c r="AB151" s="8">
        <f>IF(Data!AB151&lt;=QUARTILE(Data!AB$4:AB$153,1),1,IF(Data!AB151&lt;=MEDIAN(Data!AB$4:AB$153),2,IF(Data!AB151&lt;=QUARTILE(Data!AB$4:AB$153,3),3,4)))</f>
        <v>4</v>
      </c>
      <c r="AC151" s="8">
        <f>IF(Data!AC151&lt;=QUARTILE(Data!AC$4:AC$153,1),1,IF(Data!AC151&lt;=MEDIAN(Data!AC$4:AC$153),2,IF(Data!AC151&lt;=QUARTILE(Data!AC$4:AC$153,3),3,4)))</f>
        <v>3</v>
      </c>
      <c r="AD151" s="8">
        <f>IF(Data!AD151&lt;=QUARTILE(Data!AD$4:AD$153,1),1,IF(Data!AD151&lt;=MEDIAN(Data!AD$4:AD$153),2,IF(Data!AD151&lt;=QUARTILE(Data!AD$4:AD$153,3),3,4)))</f>
        <v>1</v>
      </c>
      <c r="AE151" s="8">
        <f>IF(Data!AE151&lt;=QUARTILE(Data!AE$4:AE$153,1),1,IF(Data!AE151&lt;=MEDIAN(Data!AE$4:AE$153),2,IF(Data!AE151&lt;=QUARTILE(Data!AE$4:AE$153,3),3,4)))</f>
        <v>2</v>
      </c>
      <c r="AF151" s="8">
        <f>IF(Data!AF151&lt;=QUARTILE(Data!AF$4:AF$153,1),1,IF(Data!AF151&lt;=MEDIAN(Data!AF$4:AF$153),2,IF(Data!AF151&lt;=QUARTILE(Data!AF$4:AF$153,3),3,4)))</f>
        <v>3</v>
      </c>
      <c r="AG151" s="8">
        <f>IF(Data!AG151&lt;=QUARTILE(Data!AG$4:AG$153,1),1,IF(Data!AG151&lt;=MEDIAN(Data!AG$4:AG$153),2,IF(Data!AG151&lt;=QUARTILE(Data!AG$4:AG$153,3),3,4)))</f>
        <v>2</v>
      </c>
      <c r="AH151" s="9">
        <f>IF(Data!AH151&lt;=QUARTILE(Data!AH$4:AH$153,1),1,IF(Data!AH151&lt;=MEDIAN(Data!AH$4:AH$153),2,IF(Data!AH151&lt;=QUARTILE(Data!AH$4:AH$153,3),3,4)))</f>
        <v>3</v>
      </c>
    </row>
    <row r="152" spans="1:34" x14ac:dyDescent="0.25">
      <c r="A152" s="7" t="s">
        <v>67</v>
      </c>
      <c r="B152" s="14" t="s">
        <v>72</v>
      </c>
      <c r="C152" s="7">
        <v>26</v>
      </c>
      <c r="D152" s="8">
        <v>56</v>
      </c>
      <c r="E152" s="42" t="s">
        <v>59</v>
      </c>
      <c r="F152" s="9">
        <v>-3.74</v>
      </c>
      <c r="G152" s="7">
        <f>IF(Data!G152&lt;=QUARTILE(Data!G$4:G$153,1),1,IF(Data!G152&lt;=MEDIAN(Data!G$4:G$153),2,IF(Data!G152&lt;=QUARTILE(Data!G$4:G$153,3),3,4)))</f>
        <v>1</v>
      </c>
      <c r="H152" s="8">
        <f>IF(Data!H152&lt;=QUARTILE(Data!H$4:H$153,1),1,IF(Data!H152&lt;=MEDIAN(Data!H$4:H$153),2,IF(Data!H152&lt;=QUARTILE(Data!H$4:H$153,3),3,4)))</f>
        <v>1</v>
      </c>
      <c r="I152" s="8">
        <f>IF(Data!I152&lt;=QUARTILE(Data!I$4:I$153,1),1,IF(Data!I152&lt;=MEDIAN(Data!I$4:I$153),2,IF(Data!I152&lt;=QUARTILE(Data!I$4:I$153,3),3,4)))</f>
        <v>1</v>
      </c>
      <c r="J152" s="8">
        <f>IF(Data!J152&lt;=QUARTILE(Data!J$4:J$153,1),1,IF(Data!J152&lt;=MEDIAN(Data!J$4:J$153),2,IF(Data!J152&lt;=QUARTILE(Data!J$4:J$153,3),3,4)))</f>
        <v>1</v>
      </c>
      <c r="K152" s="8">
        <f>IF(Data!K152&lt;=QUARTILE(Data!K$4:K$153,1),1,IF(Data!K152&lt;=MEDIAN(Data!K$4:K$153),2,IF(Data!K152&lt;=QUARTILE(Data!K$4:K$153,3),3,4)))</f>
        <v>4</v>
      </c>
      <c r="L152" s="8">
        <f>IF(Data!L152&lt;=QUARTILE(Data!L$4:L$153,1),1,IF(Data!L152&lt;=MEDIAN(Data!L$4:L$153),2,IF(Data!L152&lt;=QUARTILE(Data!L$4:L$153,3),3,4)))</f>
        <v>4</v>
      </c>
      <c r="M152" s="8">
        <f>IF(Data!M152&lt;=QUARTILE(Data!M$4:M$153,1),1,IF(Data!M152&lt;=MEDIAN(Data!M$4:M$153),2,IF(Data!M152&lt;=QUARTILE(Data!M$4:M$153,3),3,4)))</f>
        <v>4</v>
      </c>
      <c r="N152" s="8">
        <f>IF(Data!N152&lt;=QUARTILE(Data!N$4:N$153,1),1,IF(Data!N152&lt;=MEDIAN(Data!N$4:N$153),2,IF(Data!N152&lt;=QUARTILE(Data!N$4:N$153,3),3,4)))</f>
        <v>1</v>
      </c>
      <c r="O152" s="8">
        <f>IF(Data!O152&lt;=QUARTILE(Data!O$4:O$153,1),1,IF(Data!O152&lt;=MEDIAN(Data!O$4:O$153),2,IF(Data!O152&lt;=QUARTILE(Data!O$4:O$153,3),3,4)))</f>
        <v>4</v>
      </c>
      <c r="P152" s="8">
        <f>IF(Data!P152&lt;=QUARTILE(Data!P$4:P$153,1),1,IF(Data!P152&lt;=MEDIAN(Data!P$4:P$153),2,IF(Data!P152&lt;=QUARTILE(Data!P$4:P$153,3),3,4)))</f>
        <v>1</v>
      </c>
      <c r="Q152" s="8">
        <f>IF(Data!Q152&lt;=QUARTILE(Data!Q$4:Q$153,1),1,IF(Data!Q152&lt;=MEDIAN(Data!Q$4:Q$153),2,IF(Data!Q152&lt;=QUARTILE(Data!Q$4:Q$153,3),3,4)))</f>
        <v>2</v>
      </c>
      <c r="R152" s="8">
        <f>IF(Data!R152&lt;=QUARTILE(Data!R$4:R$153,1),1,IF(Data!R152&lt;=MEDIAN(Data!R$4:R$153),2,IF(Data!R152&lt;=QUARTILE(Data!R$4:R$153,3),3,4)))</f>
        <v>4</v>
      </c>
      <c r="S152" s="8">
        <f>IF(Data!S152&lt;=QUARTILE(Data!S$4:S$153,1),1,IF(Data!S152&lt;=MEDIAN(Data!S$4:S$153),2,IF(Data!S152&lt;=QUARTILE(Data!S$4:S$153,3),3,4)))</f>
        <v>4</v>
      </c>
      <c r="T152" s="9">
        <f>IF(Data!T152&lt;=QUARTILE(Data!T$4:T$153,1),1,IF(Data!T152&lt;=MEDIAN(Data!T$4:T$153),2,IF(Data!T152&lt;=QUARTILE(Data!T$4:T$153,3),3,4)))</f>
        <v>1</v>
      </c>
      <c r="U152" s="7">
        <f>IF(Data!U152&lt;=QUARTILE(Data!U$4:U$153,1),1,IF(Data!U152&lt;=MEDIAN(Data!U$4:U$153),2,IF(Data!U152&lt;=QUARTILE(Data!U$4:U$153,3),3,4)))</f>
        <v>1</v>
      </c>
      <c r="V152" s="8">
        <f>IF(Data!V152&lt;=QUARTILE(Data!V$4:V$153,1),1,IF(Data!V152&lt;=MEDIAN(Data!V$4:V$153),2,IF(Data!V152&lt;=QUARTILE(Data!V$4:V$153,3),3,4)))</f>
        <v>1</v>
      </c>
      <c r="W152" s="8">
        <f>IF(Data!W152&lt;=QUARTILE(Data!W$4:W$153,1),1,IF(Data!W152&lt;=MEDIAN(Data!W$4:W$153),2,IF(Data!W152&lt;=QUARTILE(Data!W$4:W$153,3),3,4)))</f>
        <v>2</v>
      </c>
      <c r="X152" s="8">
        <f>IF(Data!X152&lt;=QUARTILE(Data!X$4:X$153,1),1,IF(Data!X152&lt;=MEDIAN(Data!X$4:X$153),2,IF(Data!X152&lt;=QUARTILE(Data!X$4:X$153,3),3,4)))</f>
        <v>2</v>
      </c>
      <c r="Y152" s="8">
        <f>IF(Data!Y152&lt;=QUARTILE(Data!Y$4:Y$153,1),1,IF(Data!Y152&lt;=MEDIAN(Data!Y$4:Y$153),2,IF(Data!Y152&lt;=QUARTILE(Data!Y$4:Y$153,3),3,4)))</f>
        <v>4</v>
      </c>
      <c r="Z152" s="8">
        <f>IF(Data!Z152&lt;=QUARTILE(Data!Z$4:Z$153,1),1,IF(Data!Z152&lt;=MEDIAN(Data!Z$4:Z$153),2,IF(Data!Z152&lt;=QUARTILE(Data!Z$4:Z$153,3),3,4)))</f>
        <v>4</v>
      </c>
      <c r="AA152" s="8">
        <f>IF(Data!AA152&lt;=QUARTILE(Data!AA$4:AA$153,1),1,IF(Data!AA152&lt;=MEDIAN(Data!AA$4:AA$153),2,IF(Data!AA152&lt;=QUARTILE(Data!AA$4:AA$153,3),3,4)))</f>
        <v>1</v>
      </c>
      <c r="AB152" s="8">
        <f>IF(Data!AB152&lt;=QUARTILE(Data!AB$4:AB$153,1),1,IF(Data!AB152&lt;=MEDIAN(Data!AB$4:AB$153),2,IF(Data!AB152&lt;=QUARTILE(Data!AB$4:AB$153,3),3,4)))</f>
        <v>1</v>
      </c>
      <c r="AC152" s="8">
        <f>IF(Data!AC152&lt;=QUARTILE(Data!AC$4:AC$153,1),1,IF(Data!AC152&lt;=MEDIAN(Data!AC$4:AC$153),2,IF(Data!AC152&lt;=QUARTILE(Data!AC$4:AC$153,3),3,4)))</f>
        <v>1</v>
      </c>
      <c r="AD152" s="8">
        <f>IF(Data!AD152&lt;=QUARTILE(Data!AD$4:AD$153,1),1,IF(Data!AD152&lt;=MEDIAN(Data!AD$4:AD$153),2,IF(Data!AD152&lt;=QUARTILE(Data!AD$4:AD$153,3),3,4)))</f>
        <v>4</v>
      </c>
      <c r="AE152" s="8">
        <f>IF(Data!AE152&lt;=QUARTILE(Data!AE$4:AE$153,1),1,IF(Data!AE152&lt;=MEDIAN(Data!AE$4:AE$153),2,IF(Data!AE152&lt;=QUARTILE(Data!AE$4:AE$153,3),3,4)))</f>
        <v>4</v>
      </c>
      <c r="AF152" s="8">
        <f>IF(Data!AF152&lt;=QUARTILE(Data!AF$4:AF$153,1),1,IF(Data!AF152&lt;=MEDIAN(Data!AF$4:AF$153),2,IF(Data!AF152&lt;=QUARTILE(Data!AF$4:AF$153,3),3,4)))</f>
        <v>3</v>
      </c>
      <c r="AG152" s="8">
        <f>IF(Data!AG152&lt;=QUARTILE(Data!AG$4:AG$153,1),1,IF(Data!AG152&lt;=MEDIAN(Data!AG$4:AG$153),2,IF(Data!AG152&lt;=QUARTILE(Data!AG$4:AG$153,3),3,4)))</f>
        <v>4</v>
      </c>
      <c r="AH152" s="9">
        <f>IF(Data!AH152&lt;=QUARTILE(Data!AH$4:AH$153,1),1,IF(Data!AH152&lt;=MEDIAN(Data!AH$4:AH$153),2,IF(Data!AH152&lt;=QUARTILE(Data!AH$4:AH$153,3),3,4)))</f>
        <v>2</v>
      </c>
    </row>
    <row r="153" spans="1:34" ht="15.75" thickBot="1" x14ac:dyDescent="0.3">
      <c r="A153" s="10" t="s">
        <v>26</v>
      </c>
      <c r="B153" s="15" t="s">
        <v>72</v>
      </c>
      <c r="C153" s="10">
        <v>45</v>
      </c>
      <c r="D153" s="11">
        <v>37</v>
      </c>
      <c r="E153" s="43" t="s">
        <v>58</v>
      </c>
      <c r="F153" s="12">
        <v>-0.72</v>
      </c>
      <c r="G153" s="10">
        <f>IF(Data!G153&lt;=QUARTILE(Data!G$4:G$153,1),1,IF(Data!G153&lt;=MEDIAN(Data!G$4:G$153),2,IF(Data!G153&lt;=QUARTILE(Data!G$4:G$153,3),3,4)))</f>
        <v>2</v>
      </c>
      <c r="H153" s="11">
        <f>IF(Data!H153&lt;=QUARTILE(Data!H$4:H$153,1),1,IF(Data!H153&lt;=MEDIAN(Data!H$4:H$153),2,IF(Data!H153&lt;=QUARTILE(Data!H$4:H$153,3),3,4)))</f>
        <v>4</v>
      </c>
      <c r="I153" s="11">
        <f>IF(Data!I153&lt;=QUARTILE(Data!I$4:I$153,1),1,IF(Data!I153&lt;=MEDIAN(Data!I$4:I$153),2,IF(Data!I153&lt;=QUARTILE(Data!I$4:I$153,3),3,4)))</f>
        <v>3</v>
      </c>
      <c r="J153" s="11">
        <f>IF(Data!J153&lt;=QUARTILE(Data!J$4:J$153,1),1,IF(Data!J153&lt;=MEDIAN(Data!J$4:J$153),2,IF(Data!J153&lt;=QUARTILE(Data!J$4:J$153,3),3,4)))</f>
        <v>3</v>
      </c>
      <c r="K153" s="11">
        <f>IF(Data!K153&lt;=QUARTILE(Data!K$4:K$153,1),1,IF(Data!K153&lt;=MEDIAN(Data!K$4:K$153),2,IF(Data!K153&lt;=QUARTILE(Data!K$4:K$153,3),3,4)))</f>
        <v>4</v>
      </c>
      <c r="L153" s="11">
        <f>IF(Data!L153&lt;=QUARTILE(Data!L$4:L$153,1),1,IF(Data!L153&lt;=MEDIAN(Data!L$4:L$153),2,IF(Data!L153&lt;=QUARTILE(Data!L$4:L$153,3),3,4)))</f>
        <v>4</v>
      </c>
      <c r="M153" s="11">
        <f>IF(Data!M153&lt;=QUARTILE(Data!M$4:M$153,1),1,IF(Data!M153&lt;=MEDIAN(Data!M$4:M$153),2,IF(Data!M153&lt;=QUARTILE(Data!M$4:M$153,3),3,4)))</f>
        <v>4</v>
      </c>
      <c r="N153" s="11">
        <f>IF(Data!N153&lt;=QUARTILE(Data!N$4:N$153,1),1,IF(Data!N153&lt;=MEDIAN(Data!N$4:N$153),2,IF(Data!N153&lt;=QUARTILE(Data!N$4:N$153,3),3,4)))</f>
        <v>1</v>
      </c>
      <c r="O153" s="11">
        <f>IF(Data!O153&lt;=QUARTILE(Data!O$4:O$153,1),1,IF(Data!O153&lt;=MEDIAN(Data!O$4:O$153),2,IF(Data!O153&lt;=QUARTILE(Data!O$4:O$153,3),3,4)))</f>
        <v>1</v>
      </c>
      <c r="P153" s="11">
        <f>IF(Data!P153&lt;=QUARTILE(Data!P$4:P$153,1),1,IF(Data!P153&lt;=MEDIAN(Data!P$4:P$153),2,IF(Data!P153&lt;=QUARTILE(Data!P$4:P$153,3),3,4)))</f>
        <v>4</v>
      </c>
      <c r="Q153" s="11">
        <f>IF(Data!Q153&lt;=QUARTILE(Data!Q$4:Q$153,1),1,IF(Data!Q153&lt;=MEDIAN(Data!Q$4:Q$153),2,IF(Data!Q153&lt;=QUARTILE(Data!Q$4:Q$153,3),3,4)))</f>
        <v>2</v>
      </c>
      <c r="R153" s="11">
        <f>IF(Data!R153&lt;=QUARTILE(Data!R$4:R$153,1),1,IF(Data!R153&lt;=MEDIAN(Data!R$4:R$153),2,IF(Data!R153&lt;=QUARTILE(Data!R$4:R$153,3),3,4)))</f>
        <v>2</v>
      </c>
      <c r="S153" s="11">
        <f>IF(Data!S153&lt;=QUARTILE(Data!S$4:S$153,1),1,IF(Data!S153&lt;=MEDIAN(Data!S$4:S$153),2,IF(Data!S153&lt;=QUARTILE(Data!S$4:S$153,3),3,4)))</f>
        <v>2</v>
      </c>
      <c r="T153" s="12">
        <f>IF(Data!T153&lt;=QUARTILE(Data!T$4:T$153,1),1,IF(Data!T153&lt;=MEDIAN(Data!T$4:T$153),2,IF(Data!T153&lt;=QUARTILE(Data!T$4:T$153,3),3,4)))</f>
        <v>3</v>
      </c>
      <c r="U153" s="10">
        <f>IF(Data!U153&lt;=QUARTILE(Data!U$4:U$153,1),1,IF(Data!U153&lt;=MEDIAN(Data!U$4:U$153),2,IF(Data!U153&lt;=QUARTILE(Data!U$4:U$153,3),3,4)))</f>
        <v>3</v>
      </c>
      <c r="V153" s="11">
        <f>IF(Data!V153&lt;=QUARTILE(Data!V$4:V$153,1),1,IF(Data!V153&lt;=MEDIAN(Data!V$4:V$153),2,IF(Data!V153&lt;=QUARTILE(Data!V$4:V$153,3),3,4)))</f>
        <v>4</v>
      </c>
      <c r="W153" s="11">
        <f>IF(Data!W153&lt;=QUARTILE(Data!W$4:W$153,1),1,IF(Data!W153&lt;=MEDIAN(Data!W$4:W$153),2,IF(Data!W153&lt;=QUARTILE(Data!W$4:W$153,3),3,4)))</f>
        <v>3</v>
      </c>
      <c r="X153" s="11">
        <f>IF(Data!X153&lt;=QUARTILE(Data!X$4:X$153,1),1,IF(Data!X153&lt;=MEDIAN(Data!X$4:X$153),2,IF(Data!X153&lt;=QUARTILE(Data!X$4:X$153,3),3,4)))</f>
        <v>3</v>
      </c>
      <c r="Y153" s="11">
        <f>IF(Data!Y153&lt;=QUARTILE(Data!Y$4:Y$153,1),1,IF(Data!Y153&lt;=MEDIAN(Data!Y$4:Y$153),2,IF(Data!Y153&lt;=QUARTILE(Data!Y$4:Y$153,3),3,4)))</f>
        <v>2</v>
      </c>
      <c r="Z153" s="11">
        <f>IF(Data!Z153&lt;=QUARTILE(Data!Z$4:Z$153,1),1,IF(Data!Z153&lt;=MEDIAN(Data!Z$4:Z$153),2,IF(Data!Z153&lt;=QUARTILE(Data!Z$4:Z$153,3),3,4)))</f>
        <v>2</v>
      </c>
      <c r="AA153" s="11">
        <f>IF(Data!AA153&lt;=QUARTILE(Data!AA$4:AA$153,1),1,IF(Data!AA153&lt;=MEDIAN(Data!AA$4:AA$153),2,IF(Data!AA153&lt;=QUARTILE(Data!AA$4:AA$153,3),3,4)))</f>
        <v>4</v>
      </c>
      <c r="AB153" s="11">
        <f>IF(Data!AB153&lt;=QUARTILE(Data!AB$4:AB$153,1),1,IF(Data!AB153&lt;=MEDIAN(Data!AB$4:AB$153),2,IF(Data!AB153&lt;=QUARTILE(Data!AB$4:AB$153,3),3,4)))</f>
        <v>3</v>
      </c>
      <c r="AC153" s="11">
        <f>IF(Data!AC153&lt;=QUARTILE(Data!AC$4:AC$153,1),1,IF(Data!AC153&lt;=MEDIAN(Data!AC$4:AC$153),2,IF(Data!AC153&lt;=QUARTILE(Data!AC$4:AC$153,3),3,4)))</f>
        <v>4</v>
      </c>
      <c r="AD153" s="11">
        <f>IF(Data!AD153&lt;=QUARTILE(Data!AD$4:AD$153,1),1,IF(Data!AD153&lt;=MEDIAN(Data!AD$4:AD$153),2,IF(Data!AD153&lt;=QUARTILE(Data!AD$4:AD$153,3),3,4)))</f>
        <v>2</v>
      </c>
      <c r="AE153" s="11">
        <f>IF(Data!AE153&lt;=QUARTILE(Data!AE$4:AE$153,1),1,IF(Data!AE153&lt;=MEDIAN(Data!AE$4:AE$153),2,IF(Data!AE153&lt;=QUARTILE(Data!AE$4:AE$153,3),3,4)))</f>
        <v>3</v>
      </c>
      <c r="AF153" s="11">
        <f>IF(Data!AF153&lt;=QUARTILE(Data!AF$4:AF$153,1),1,IF(Data!AF153&lt;=MEDIAN(Data!AF$4:AF$153),2,IF(Data!AF153&lt;=QUARTILE(Data!AF$4:AF$153,3),3,4)))</f>
        <v>4</v>
      </c>
      <c r="AG153" s="11">
        <f>IF(Data!AG153&lt;=QUARTILE(Data!AG$4:AG$153,1),1,IF(Data!AG153&lt;=MEDIAN(Data!AG$4:AG$153),2,IF(Data!AG153&lt;=QUARTILE(Data!AG$4:AG$153,3),3,4)))</f>
        <v>4</v>
      </c>
      <c r="AH153" s="12">
        <f>IF(Data!AH153&lt;=QUARTILE(Data!AH$4:AH$153,1),1,IF(Data!AH153&lt;=MEDIAN(Data!AH$4:AH$153),2,IF(Data!AH153&lt;=QUARTILE(Data!AH$4:AH$153,3),3,4)))</f>
        <v>3</v>
      </c>
    </row>
  </sheetData>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9"/>
  <sheetViews>
    <sheetView workbookViewId="0"/>
  </sheetViews>
  <sheetFormatPr defaultRowHeight="15" x14ac:dyDescent="0.25"/>
  <cols>
    <col min="1" max="1" width="20.5703125" bestFit="1" customWidth="1"/>
    <col min="2" max="3" width="14.5703125" bestFit="1" customWidth="1"/>
    <col min="4" max="4" width="11.28515625" bestFit="1" customWidth="1"/>
  </cols>
  <sheetData>
    <row r="3" spans="1:4" x14ac:dyDescent="0.25">
      <c r="A3" s="37" t="s">
        <v>313</v>
      </c>
      <c r="B3" s="37" t="s">
        <v>50</v>
      </c>
    </row>
    <row r="4" spans="1:4" x14ac:dyDescent="0.25">
      <c r="A4" s="37" t="s">
        <v>9</v>
      </c>
      <c r="B4" t="s">
        <v>59</v>
      </c>
      <c r="C4" t="s">
        <v>58</v>
      </c>
      <c r="D4" t="s">
        <v>314</v>
      </c>
    </row>
    <row r="5" spans="1:4" x14ac:dyDescent="0.25">
      <c r="A5">
        <v>1</v>
      </c>
      <c r="B5" s="38">
        <v>0.71052631578947367</v>
      </c>
      <c r="C5" s="38">
        <v>0.28947368421052633</v>
      </c>
      <c r="D5" s="38">
        <v>1</v>
      </c>
    </row>
    <row r="6" spans="1:4" x14ac:dyDescent="0.25">
      <c r="A6">
        <v>2</v>
      </c>
      <c r="B6" s="38">
        <v>0.52631578947368418</v>
      </c>
      <c r="C6" s="38">
        <v>0.47368421052631576</v>
      </c>
      <c r="D6" s="38">
        <v>1</v>
      </c>
    </row>
    <row r="7" spans="1:4" x14ac:dyDescent="0.25">
      <c r="A7">
        <v>3</v>
      </c>
      <c r="B7" s="38">
        <v>0.44444444444444442</v>
      </c>
      <c r="C7" s="38">
        <v>0.55555555555555558</v>
      </c>
      <c r="D7" s="38">
        <v>1</v>
      </c>
    </row>
    <row r="8" spans="1:4" x14ac:dyDescent="0.25">
      <c r="A8">
        <v>4</v>
      </c>
      <c r="B8" s="38">
        <v>0.18421052631578946</v>
      </c>
      <c r="C8" s="38">
        <v>0.81578947368421051</v>
      </c>
      <c r="D8" s="38">
        <v>1</v>
      </c>
    </row>
    <row r="9" spans="1:4" x14ac:dyDescent="0.25">
      <c r="A9" t="s">
        <v>314</v>
      </c>
      <c r="B9" s="38">
        <v>0.46666666666666667</v>
      </c>
      <c r="C9" s="38">
        <v>0.53333333333333333</v>
      </c>
      <c r="D9" s="38">
        <v>1</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71</vt:i4>
      </vt:variant>
    </vt:vector>
  </HeadingPairs>
  <TitlesOfParts>
    <vt:vector size="77" baseType="lpstr">
      <vt:lpstr>Source</vt:lpstr>
      <vt:lpstr>Data</vt:lpstr>
      <vt:lpstr>_STDS_DG11E4ABC5</vt:lpstr>
      <vt:lpstr>Correlations</vt:lpstr>
      <vt:lpstr>Data with Quartiles</vt:lpstr>
      <vt:lpstr>Pivot Table</vt:lpstr>
      <vt:lpstr>Data!NBA_2009</vt:lpstr>
      <vt:lpstr>'Data with Quartiles'!NBA_2009</vt:lpstr>
      <vt:lpstr>'Data with Quartiles'!ST_3P</vt:lpstr>
      <vt:lpstr>ST_3P</vt:lpstr>
      <vt:lpstr>'Data with Quartiles'!ST_3PA</vt:lpstr>
      <vt:lpstr>ST_3PA</vt:lpstr>
      <vt:lpstr>'Data with Quartiles'!ST_AST</vt:lpstr>
      <vt:lpstr>ST_AST</vt:lpstr>
      <vt:lpstr>'Data with Quartiles'!ST_BLK</vt:lpstr>
      <vt:lpstr>ST_BLK</vt:lpstr>
      <vt:lpstr>'Data with Quartiles'!ST_DRB</vt:lpstr>
      <vt:lpstr>ST_DRB</vt:lpstr>
      <vt:lpstr>'Data with Quartiles'!ST_FG</vt:lpstr>
      <vt:lpstr>ST_FG</vt:lpstr>
      <vt:lpstr>'Data with Quartiles'!ST_FGA</vt:lpstr>
      <vt:lpstr>ST_FGA</vt:lpstr>
      <vt:lpstr>'Data with Quartiles'!ST_FT</vt:lpstr>
      <vt:lpstr>ST_FT</vt:lpstr>
      <vt:lpstr>'Data with Quartiles'!ST_FTA</vt:lpstr>
      <vt:lpstr>ST_FTA</vt:lpstr>
      <vt:lpstr>'Data with Quartiles'!ST_Losses</vt:lpstr>
      <vt:lpstr>ST_Losses</vt:lpstr>
      <vt:lpstr>'Data with Quartiles'!ST_O3P</vt:lpstr>
      <vt:lpstr>ST_O3P</vt:lpstr>
      <vt:lpstr>'Data with Quartiles'!ST_O3PA</vt:lpstr>
      <vt:lpstr>ST_O3PA</vt:lpstr>
      <vt:lpstr>'Data with Quartiles'!ST_OAST</vt:lpstr>
      <vt:lpstr>ST_OAST</vt:lpstr>
      <vt:lpstr>'Data with Quartiles'!ST_OBLK</vt:lpstr>
      <vt:lpstr>ST_OBLK</vt:lpstr>
      <vt:lpstr>'Data with Quartiles'!ST_ODRB</vt:lpstr>
      <vt:lpstr>ST_ODRB</vt:lpstr>
      <vt:lpstr>'Data with Quartiles'!ST_OFG</vt:lpstr>
      <vt:lpstr>ST_OFG</vt:lpstr>
      <vt:lpstr>'Data with Quartiles'!ST_OFGA</vt:lpstr>
      <vt:lpstr>ST_OFGA</vt:lpstr>
      <vt:lpstr>'Data with Quartiles'!ST_OFT</vt:lpstr>
      <vt:lpstr>ST_OFT</vt:lpstr>
      <vt:lpstr>'Data with Quartiles'!ST_OFTA</vt:lpstr>
      <vt:lpstr>ST_OFTA</vt:lpstr>
      <vt:lpstr>'Data with Quartiles'!ST_OORB</vt:lpstr>
      <vt:lpstr>ST_OORB</vt:lpstr>
      <vt:lpstr>'Data with Quartiles'!ST_OPF</vt:lpstr>
      <vt:lpstr>ST_OPF</vt:lpstr>
      <vt:lpstr>'Data with Quartiles'!ST_OPTS</vt:lpstr>
      <vt:lpstr>ST_OPTS</vt:lpstr>
      <vt:lpstr>'Data with Quartiles'!ST_ORB</vt:lpstr>
      <vt:lpstr>ST_ORB</vt:lpstr>
      <vt:lpstr>'Data with Quartiles'!ST_OSTL</vt:lpstr>
      <vt:lpstr>ST_OSTL</vt:lpstr>
      <vt:lpstr>'Data with Quartiles'!ST_OTOV</vt:lpstr>
      <vt:lpstr>ST_OTOV</vt:lpstr>
      <vt:lpstr>'Data with Quartiles'!ST_PF</vt:lpstr>
      <vt:lpstr>ST_PF</vt:lpstr>
      <vt:lpstr>'Data with Quartiles'!ST_Playoffteam</vt:lpstr>
      <vt:lpstr>ST_Playoffteam</vt:lpstr>
      <vt:lpstr>'Data with Quartiles'!ST_PTS</vt:lpstr>
      <vt:lpstr>ST_PTS</vt:lpstr>
      <vt:lpstr>'Data with Quartiles'!ST_SRS</vt:lpstr>
      <vt:lpstr>ST_SRS</vt:lpstr>
      <vt:lpstr>'Data with Quartiles'!ST_STL</vt:lpstr>
      <vt:lpstr>ST_STL</vt:lpstr>
      <vt:lpstr>'Data with Quartiles'!ST_Team</vt:lpstr>
      <vt:lpstr>ST_Team</vt:lpstr>
      <vt:lpstr>'Data with Quartiles'!ST_TOV</vt:lpstr>
      <vt:lpstr>ST_TOV</vt:lpstr>
      <vt:lpstr>'Data with Quartiles'!ST_Wins</vt:lpstr>
      <vt:lpstr>ST_Wins</vt:lpstr>
      <vt:lpstr>'Data with Quartiles'!ST_Year</vt:lpstr>
      <vt:lpstr>ST_Year</vt:lpstr>
      <vt:lpstr>Correlations!StatToolsHeader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2010-02-17T00:53:30Z</dcterms:created>
  <dcterms:modified xsi:type="dcterms:W3CDTF">2012-10-12T18:31:18Z</dcterms:modified>
</cp:coreProperties>
</file>