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activeTab="1"/>
  </bookViews>
  <sheets>
    <sheet name="Source" sheetId="1" r:id="rId1"/>
    <sheet name="Data" sheetId="2" r:id="rId2"/>
    <sheet name="_STDS_DG35660776" sheetId="3" state="hidden" r:id="rId3"/>
    <sheet name="Correlation Wins" sheetId="4" r:id="rId4"/>
    <sheet name="Correlation Salaries" sheetId="5" r:id="rId5"/>
    <sheet name="Scatterplot" sheetId="6" r:id="rId6"/>
    <sheet name="Pivot Table" sheetId="7" r:id="rId7"/>
  </sheets>
  <definedNames>
    <definedName name="_2" localSheetId="1">Data!#REF!</definedName>
    <definedName name="PalisadeReportWorksheetCreatedBy" localSheetId="4" hidden="1">"StatTools"</definedName>
    <definedName name="PalisadeReportWorksheetCreatedBy" localSheetId="3" hidden="1">"StatTools"</definedName>
    <definedName name="PalisadeReportWorksheetCreatedBy" localSheetId="5" hidden="1">"StatTools"</definedName>
    <definedName name="ScatterX_129F3" localSheetId="5">_xll.StatScatterPlot([0]!ST_Salary2008,[0]!ST_Wins2008,0)</definedName>
    <definedName name="ScatterX_3A48F" localSheetId="5">_xll.StatScatterPlot([0]!ST_Salary2010,[0]!ST_Wins2010,0)</definedName>
    <definedName name="ScatterX_3F914" localSheetId="5">_xll.StatScatterPlot([0]!ST_Salary2007,[0]!ST_Wins2007,0)</definedName>
    <definedName name="ScatterX_C3874" localSheetId="5">_xll.StatScatterPlot([0]!ST_Salary2004,[0]!ST_Wins2004,0)</definedName>
    <definedName name="ScatterX_CDCE7" localSheetId="5">_xll.StatScatterPlot([0]!ST_Salary2011,[0]!ST_Wins2011,0)</definedName>
    <definedName name="ScatterX_D7115" localSheetId="5">_xll.StatScatterPlot([0]!ST_Salary2006,[0]!ST_Wins2006,0)</definedName>
    <definedName name="ScatterX_E22E2" localSheetId="5">_xll.StatScatterPlot([0]!ST_Salary2009,[0]!ST_Wins2009,0)</definedName>
    <definedName name="ScatterX_EEF81" localSheetId="5">_xll.StatScatterPlot([0]!ST_Salary2005,[0]!ST_Wins2005,0)</definedName>
    <definedName name="ScatterY_129F3" localSheetId="5">_xll.StatScatterPlot([0]!ST_Salary2008,[0]!ST_Wins2008,1)</definedName>
    <definedName name="ScatterY_3A48F" localSheetId="5">_xll.StatScatterPlot([0]!ST_Salary2010,[0]!ST_Wins2010,1)</definedName>
    <definedName name="ScatterY_3F914" localSheetId="5">_xll.StatScatterPlot([0]!ST_Salary2007,[0]!ST_Wins2007,1)</definedName>
    <definedName name="ScatterY_C3874" localSheetId="5">_xll.StatScatterPlot([0]!ST_Salary2004,[0]!ST_Wins2004,1)</definedName>
    <definedName name="ScatterY_CDCE7" localSheetId="5">_xll.StatScatterPlot([0]!ST_Salary2011,[0]!ST_Wins2011,1)</definedName>
    <definedName name="ScatterY_D7115" localSheetId="5">_xll.StatScatterPlot([0]!ST_Salary2006,[0]!ST_Wins2006,1)</definedName>
    <definedName name="ScatterY_E22E2" localSheetId="5">_xll.StatScatterPlot([0]!ST_Salary2009,[0]!ST_Wins2009,1)</definedName>
    <definedName name="ScatterY_EEF81" localSheetId="5">_xll.StatScatterPlot([0]!ST_Salary2005,[0]!ST_Wins2005,1)</definedName>
    <definedName name="ST_Salary2004">Data!$B$2:$B$31</definedName>
    <definedName name="ST_Salary2005">Data!$C$2:$C$31</definedName>
    <definedName name="ST_Salary2006">Data!$D$2:$D$31</definedName>
    <definedName name="ST_Salary2007">Data!$E$2:$E$31</definedName>
    <definedName name="ST_Salary2008">Data!$F$2:$F$31</definedName>
    <definedName name="ST_Salary2009">Data!$G$2:$G$31</definedName>
    <definedName name="ST_Salary2010">Data!$H$2:$H$31</definedName>
    <definedName name="ST_Salary2011">Data!$I$2:$I$31</definedName>
    <definedName name="ST_Team">Data!$A$2:$A$31</definedName>
    <definedName name="ST_Wins2004">Data!$J$2:$J$31</definedName>
    <definedName name="ST_Wins2005">Data!$K$2:$K$31</definedName>
    <definedName name="ST_Wins2006">Data!$L$2:$L$31</definedName>
    <definedName name="ST_Wins2007">Data!$M$2:$M$31</definedName>
    <definedName name="ST_Wins2008">Data!$N$2:$N$31</definedName>
    <definedName name="ST_Wins2009">Data!$O$2:$O$31</definedName>
    <definedName name="ST_Wins2010">Data!$P$2:$P$31</definedName>
    <definedName name="ST_Wins2011">Data!$Q$2:$Q$31</definedName>
    <definedName name="StatToolsHeader" localSheetId="4">'Correlation Salaries'!$1:$5</definedName>
    <definedName name="StatToolsHeader" localSheetId="3">'Correlation Wins'!$1:$5</definedName>
    <definedName name="StatToolsHeader" localSheetId="5">Scatterplot!$1:$5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TableStructure" hidden="1">" 2"</definedName>
    <definedName name="STWBD_StatToolsCorrAndCovar_VariableList" hidden="1">8</definedName>
    <definedName name="STWBD_StatToolsCorrAndCovar_VariableList_1" hidden="1">"U_x0001_VG21DF305AA520265_x0001_"</definedName>
    <definedName name="STWBD_StatToolsCorrAndCovar_VariableList_2" hidden="1">"U_x0001_VG14F584F92E27D282_x0001_"</definedName>
    <definedName name="STWBD_StatToolsCorrAndCovar_VariableList_3" hidden="1">"U_x0001_VG30D297F7AF153CE_x0001_"</definedName>
    <definedName name="STWBD_StatToolsCorrAndCovar_VariableList_4" hidden="1">"U_x0001_VG10C73E8714EF84FD_x0001_"</definedName>
    <definedName name="STWBD_StatToolsCorrAndCovar_VariableList_5" hidden="1">"U_x0001_VGE406D912B043856_x0001_"</definedName>
    <definedName name="STWBD_StatToolsCorrAndCovar_VariableList_6" hidden="1">"U_x0001_VG1F2A7F6A12796567_x0001_"</definedName>
    <definedName name="STWBD_StatToolsCorrAndCovar_VariableList_7" hidden="1">"U_x0001_VG21A429A5175668AA_x0001_"</definedName>
    <definedName name="STWBD_StatToolsCorrAndCovar_VariableList_8" hidden="1">"U_x0001_VG313D3D382A712816_x0001_"</definedName>
    <definedName name="STWBD_StatToolsCorrAndCovar_VarSelectorDefaultDataSet" hidden="1">"DG35660776"</definedName>
    <definedName name="STWBD_StatToolsScatterplot_DisplayCorrelationCoefficient" hidden="1">"TRUE"</definedName>
    <definedName name="STWBD_StatToolsScatterplot_HasDefaultInfo" hidden="1">"TRUE"</definedName>
    <definedName name="STWBD_StatToolsScatterplot_ScatterplotChartType" hidden="1">" 0"</definedName>
    <definedName name="STWBD_StatToolsScatterplot_VarSelectorDefaultDataSet" hidden="1">"DG35660776"</definedName>
    <definedName name="STWBD_StatToolsScatterplot_XVariableList" hidden="1">1</definedName>
    <definedName name="STWBD_StatToolsScatterplot_XVariableList_1" hidden="1">"U_x0001_VG313D3D382A712816_x0001_"</definedName>
    <definedName name="STWBD_StatToolsScatterplot_YVariableList" hidden="1">1</definedName>
    <definedName name="STWBD_StatToolsScatterplot_YVariableList_1" hidden="1">"U_x0001_VG1FF63C83435C5B2_x0001_"</definedName>
  </definedNames>
  <calcPr calcId="152511"/>
  <pivotCaches>
    <pivotCache cacheId="24" r:id="rId8"/>
  </pivotCaches>
</workbook>
</file>

<file path=xl/calcChain.xml><?xml version="1.0" encoding="utf-8"?>
<calcChain xmlns="http://schemas.openxmlformats.org/spreadsheetml/2006/main">
  <c r="D40" i="7" l="1"/>
  <c r="D35" i="7"/>
  <c r="D30" i="7"/>
  <c r="D25" i="7"/>
  <c r="D20" i="7"/>
  <c r="D15" i="7"/>
  <c r="D10" i="7"/>
  <c r="D5" i="7"/>
  <c r="B9" i="3"/>
  <c r="B61" i="3"/>
  <c r="B58" i="3"/>
  <c r="B55" i="3"/>
  <c r="B52" i="3"/>
  <c r="B49" i="3"/>
  <c r="B46" i="3"/>
  <c r="B43" i="3"/>
  <c r="B40" i="3"/>
  <c r="B37" i="3"/>
  <c r="B34" i="3"/>
  <c r="B31" i="3"/>
  <c r="B28" i="3"/>
  <c r="B25" i="3"/>
  <c r="B22" i="3"/>
  <c r="B19" i="3"/>
  <c r="B16" i="3"/>
  <c r="B13" i="3"/>
  <c r="B7" i="3"/>
  <c r="B3" i="3"/>
  <c r="T24" i="6"/>
  <c r="F16" i="5"/>
  <c r="G15" i="5"/>
  <c r="E16" i="5"/>
  <c r="G16" i="4"/>
  <c r="D15" i="4"/>
  <c r="D13" i="4"/>
  <c r="G15" i="4"/>
  <c r="C15" i="5"/>
  <c r="B15" i="5"/>
  <c r="B11" i="4"/>
  <c r="C12" i="4"/>
  <c r="B24" i="6"/>
  <c r="D13" i="5"/>
  <c r="E15" i="5"/>
  <c r="C11" i="4"/>
  <c r="B13" i="4"/>
  <c r="H16" i="4"/>
  <c r="C14" i="4"/>
  <c r="B12" i="5"/>
  <c r="D14" i="5"/>
  <c r="D12" i="4"/>
  <c r="N24" i="6"/>
  <c r="B11" i="5"/>
  <c r="C12" i="5"/>
  <c r="B10" i="5"/>
  <c r="E15" i="4"/>
  <c r="E13" i="4"/>
  <c r="B10" i="4"/>
  <c r="D14" i="4"/>
  <c r="H24" i="6"/>
  <c r="G16" i="5"/>
  <c r="B14" i="4"/>
  <c r="D16" i="4"/>
  <c r="C13" i="5"/>
  <c r="C13" i="4"/>
  <c r="D12" i="5"/>
  <c r="E14" i="4"/>
  <c r="E14" i="5"/>
  <c r="F16" i="4"/>
  <c r="T43" i="6"/>
  <c r="H16" i="5"/>
  <c r="D16" i="5"/>
  <c r="B14" i="5"/>
  <c r="C16" i="5"/>
  <c r="B15" i="4"/>
  <c r="F14" i="4"/>
  <c r="B12" i="4"/>
  <c r="N43" i="6"/>
  <c r="F15" i="5"/>
  <c r="F14" i="5"/>
  <c r="C11" i="5"/>
  <c r="B16" i="5"/>
  <c r="C16" i="4"/>
  <c r="F15" i="4"/>
  <c r="B16" i="4"/>
  <c r="H43" i="6"/>
  <c r="C14" i="5"/>
  <c r="B13" i="5"/>
  <c r="D15" i="5"/>
  <c r="E16" i="4"/>
  <c r="B43" i="6"/>
  <c r="E13" i="5"/>
  <c r="C15" i="4"/>
</calcChain>
</file>

<file path=xl/comments1.xml><?xml version="1.0" encoding="utf-8"?>
<comments xmlns="http://schemas.openxmlformats.org/spreadsheetml/2006/main">
  <authors>
    <author>Chris</author>
    <author xml:space="preserve"> Chris Albright</author>
  </authors>
  <commentList>
    <comment ref="A16" authorId="0" shapeId="0">
      <text>
        <r>
          <rPr>
            <b/>
            <sz val="9"/>
            <color indexed="81"/>
            <rFont val="Tahoma"/>
            <family val="2"/>
          </rPr>
          <t>Was previously called Florida Marlins</t>
        </r>
        <r>
          <rPr>
            <sz val="9"/>
            <color indexed="81"/>
            <rFont val="Tahoma"/>
            <family val="2"/>
          </rPr>
          <t xml:space="preserve">
</t>
        </r>
      </text>
    </comment>
    <comment ref="A31" authorId="1" shapeId="0">
      <text>
        <r>
          <rPr>
            <b/>
            <sz val="8"/>
            <color indexed="81"/>
            <rFont val="Tahoma"/>
            <family val="2"/>
          </rPr>
          <t>Washington replaced the Montreal Expos in 2005.</t>
        </r>
        <r>
          <rPr>
            <sz val="8"/>
            <color indexed="81"/>
            <rFont val="Tahoma"/>
            <family val="2"/>
          </rPr>
          <t xml:space="preserve">
</t>
        </r>
      </text>
    </comment>
  </commentList>
</comments>
</file>

<file path=xl/sharedStrings.xml><?xml version="1.0" encoding="utf-8"?>
<sst xmlns="http://schemas.openxmlformats.org/spreadsheetml/2006/main" count="549" uniqueCount="208">
  <si>
    <t>Team</t>
  </si>
  <si>
    <t>Arizona Diamondbacks</t>
  </si>
  <si>
    <t>Atlanta Braves</t>
  </si>
  <si>
    <t>Baltimore Orioles</t>
  </si>
  <si>
    <t>Boston Red Sox</t>
  </si>
  <si>
    <t>Chicago Cubs</t>
  </si>
  <si>
    <t>Chicago White Sox</t>
  </si>
  <si>
    <t>Cincinnati Reds</t>
  </si>
  <si>
    <t>Cleveland Indians</t>
  </si>
  <si>
    <t>Colorado Rockies</t>
  </si>
  <si>
    <t>Detroit Tigers</t>
  </si>
  <si>
    <t>Houston Astros</t>
  </si>
  <si>
    <t>Kansas City Royals</t>
  </si>
  <si>
    <t>Los Angeles Angels</t>
  </si>
  <si>
    <t>Los Angeles Dodgers</t>
  </si>
  <si>
    <t>Milwaukee Brewers</t>
  </si>
  <si>
    <t>Minnesota Twins</t>
  </si>
  <si>
    <t>New York Mets</t>
  </si>
  <si>
    <t>New York Yankees</t>
  </si>
  <si>
    <t>Oakland Athletics</t>
  </si>
  <si>
    <t>Philadelphia Phillies</t>
  </si>
  <si>
    <t>Pittsburgh Pirates</t>
  </si>
  <si>
    <t>San Diego Padres</t>
  </si>
  <si>
    <t>San Francisco Giants</t>
  </si>
  <si>
    <t>Seattle Marriners</t>
  </si>
  <si>
    <t>St. Louis Cardinals</t>
  </si>
  <si>
    <t>Tampa Bay Rays</t>
  </si>
  <si>
    <t>Texas Rangers</t>
  </si>
  <si>
    <t>Toronto Blue Jays</t>
  </si>
  <si>
    <t>Washington Nationals</t>
  </si>
  <si>
    <t>Salary 2004</t>
  </si>
  <si>
    <t>Salary 2005</t>
  </si>
  <si>
    <t>Salary 2006</t>
  </si>
  <si>
    <t>Salary 2007</t>
  </si>
  <si>
    <t>Salary 2008</t>
  </si>
  <si>
    <t>Salary 2009</t>
  </si>
  <si>
    <t>Wins 2004</t>
  </si>
  <si>
    <t>Wins 2005</t>
  </si>
  <si>
    <t>Wins 2006</t>
  </si>
  <si>
    <t>Wins 2007</t>
  </si>
  <si>
    <t>Wins 2008</t>
  </si>
  <si>
    <t>Wins 2009</t>
  </si>
  <si>
    <t>Coloring key</t>
  </si>
  <si>
    <t>Playoff team</t>
  </si>
  <si>
    <t>World Series team</t>
  </si>
  <si>
    <t>World Series winner</t>
  </si>
  <si>
    <t>Miami Marlins</t>
  </si>
  <si>
    <t>Salary 2010</t>
  </si>
  <si>
    <t>Salary 2011</t>
  </si>
  <si>
    <t>Wins 2010</t>
  </si>
  <si>
    <t>Wins 2011</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</si>
  <si>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</si>
  <si>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</si>
  <si>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</si>
  <si>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</si>
  <si>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</si>
  <si>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</si>
  <si>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</si>
  <si>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</si>
  <si>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</si>
  <si>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</si>
  <si>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</si>
  <si>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</si>
  <si>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DG35660776</t>
  </si>
  <si>
    <t>Format Range</t>
  </si>
  <si>
    <t>Variable Layout</t>
  </si>
  <si>
    <t>Columns</t>
  </si>
  <si>
    <t>Variable Names In Cells</t>
  </si>
  <si>
    <t>Variable Names In 2nd Cells</t>
  </si>
  <si>
    <t>Data Set Ranges</t>
  </si>
  <si>
    <t>Data Sheet Format</t>
  </si>
  <si>
    <t>Formula Eval Cell</t>
  </si>
  <si>
    <t>Num Stored Vars</t>
  </si>
  <si>
    <t>1 : Info</t>
  </si>
  <si>
    <t>VG2109C10E2FE9D9E7</t>
  </si>
  <si>
    <t>var1</t>
  </si>
  <si>
    <t>ST_Team</t>
  </si>
  <si>
    <t>1 : Ranges</t>
  </si>
  <si>
    <t>1 : MultiRefs</t>
  </si>
  <si>
    <t>2 : Info</t>
  </si>
  <si>
    <t>VG21DF305AA520265</t>
  </si>
  <si>
    <t>var2</t>
  </si>
  <si>
    <t>ST_Salary2004</t>
  </si>
  <si>
    <t>2 : Ranges</t>
  </si>
  <si>
    <t>2 : MultiRefs</t>
  </si>
  <si>
    <t>3 : Info</t>
  </si>
  <si>
    <t>VG14F584F92E27D282</t>
  </si>
  <si>
    <t>var3</t>
  </si>
  <si>
    <t>ST_Salary2005</t>
  </si>
  <si>
    <t>3 : Ranges</t>
  </si>
  <si>
    <t>3 : MultiRefs</t>
  </si>
  <si>
    <t>4 : Info</t>
  </si>
  <si>
    <t>VG30D297F7AF153CE</t>
  </si>
  <si>
    <t>var4</t>
  </si>
  <si>
    <t>ST_Salary2006</t>
  </si>
  <si>
    <t>4 : Ranges</t>
  </si>
  <si>
    <t>4 : MultiRefs</t>
  </si>
  <si>
    <t>5 : Info</t>
  </si>
  <si>
    <t>VG10C73E8714EF84FD</t>
  </si>
  <si>
    <t>var5</t>
  </si>
  <si>
    <t>ST_Salary2007</t>
  </si>
  <si>
    <t>5 : Ranges</t>
  </si>
  <si>
    <t>5 : MultiRefs</t>
  </si>
  <si>
    <t>6 : Info</t>
  </si>
  <si>
    <t>VGE406D912B043856</t>
  </si>
  <si>
    <t>var6</t>
  </si>
  <si>
    <t>ST_Salary2008</t>
  </si>
  <si>
    <t>6 : Ranges</t>
  </si>
  <si>
    <t>6 : MultiRefs</t>
  </si>
  <si>
    <t>7 : Info</t>
  </si>
  <si>
    <t>VG1F2A7F6A12796567</t>
  </si>
  <si>
    <t>var7</t>
  </si>
  <si>
    <t>ST_Salary2009</t>
  </si>
  <si>
    <t>7 : Ranges</t>
  </si>
  <si>
    <t>7 : MultiRefs</t>
  </si>
  <si>
    <t>8 : Info</t>
  </si>
  <si>
    <t>VG21A429A5175668AA</t>
  </si>
  <si>
    <t>var8</t>
  </si>
  <si>
    <t>ST_Salary2010</t>
  </si>
  <si>
    <t>8 : Ranges</t>
  </si>
  <si>
    <t>8 : MultiRefs</t>
  </si>
  <si>
    <t>9 : Info</t>
  </si>
  <si>
    <t>VG313D3D382A712816</t>
  </si>
  <si>
    <t>var9</t>
  </si>
  <si>
    <t>ST_Salary2011</t>
  </si>
  <si>
    <t>9 : Ranges</t>
  </si>
  <si>
    <t>9 : MultiRefs</t>
  </si>
  <si>
    <t>10 : Info</t>
  </si>
  <si>
    <t>VG281991C91631FA2A</t>
  </si>
  <si>
    <t>var10</t>
  </si>
  <si>
    <t>ST_Wins2004</t>
  </si>
  <si>
    <t>10 : Ranges</t>
  </si>
  <si>
    <t>10 : MultiRefs</t>
  </si>
  <si>
    <t>11 : Info</t>
  </si>
  <si>
    <t>VGCDDDD792F70D398</t>
  </si>
  <si>
    <t>var11</t>
  </si>
  <si>
    <t>ST_Wins2005</t>
  </si>
  <si>
    <t>11 : Ranges</t>
  </si>
  <si>
    <t>11 : MultiRefs</t>
  </si>
  <si>
    <t>12 : Info</t>
  </si>
  <si>
    <t>VG3656AAF519E2A20A</t>
  </si>
  <si>
    <t>var12</t>
  </si>
  <si>
    <t>ST_Wins2006</t>
  </si>
  <si>
    <t>12 : Ranges</t>
  </si>
  <si>
    <t>12 : MultiRefs</t>
  </si>
  <si>
    <t>13 : Info</t>
  </si>
  <si>
    <t>VG384B1C286FD4F18</t>
  </si>
  <si>
    <t>var13</t>
  </si>
  <si>
    <t>ST_Wins2007</t>
  </si>
  <si>
    <t>13 : Ranges</t>
  </si>
  <si>
    <t>13 : MultiRefs</t>
  </si>
  <si>
    <t>14 : Info</t>
  </si>
  <si>
    <t>VG2850D84DC259D02</t>
  </si>
  <si>
    <t>var14</t>
  </si>
  <si>
    <t>ST_Wins2008</t>
  </si>
  <si>
    <t>14 : Ranges</t>
  </si>
  <si>
    <t>14 : MultiRefs</t>
  </si>
  <si>
    <t>15 : Info</t>
  </si>
  <si>
    <t>VG29692CC238046D42</t>
  </si>
  <si>
    <t>var15</t>
  </si>
  <si>
    <t>ST_Wins2009</t>
  </si>
  <si>
    <t>15 : Ranges</t>
  </si>
  <si>
    <t>15 : MultiRefs</t>
  </si>
  <si>
    <t>16 : Info</t>
  </si>
  <si>
    <t>VGE33D46528804972</t>
  </si>
  <si>
    <t>var16</t>
  </si>
  <si>
    <t>ST_Wins2010</t>
  </si>
  <si>
    <t>16 : Ranges</t>
  </si>
  <si>
    <t>16 : MultiRefs</t>
  </si>
  <si>
    <t>17 : Info</t>
  </si>
  <si>
    <t>VG1FF63C83435C5B2</t>
  </si>
  <si>
    <t>var17</t>
  </si>
  <si>
    <t>ST_Wins2011</t>
  </si>
  <si>
    <t>17 : Ranges</t>
  </si>
  <si>
    <t>17 : MultiRefs</t>
  </si>
  <si>
    <t>StatTools Report</t>
  </si>
  <si>
    <t>Analysis:</t>
  </si>
  <si>
    <t>Correlation and Covariance</t>
  </si>
  <si>
    <t>Performed By:</t>
  </si>
  <si>
    <t>Chris</t>
  </si>
  <si>
    <t>Date:</t>
  </si>
  <si>
    <t>Wednesday, February 08, 2012</t>
  </si>
  <si>
    <t>Updating:</t>
  </si>
  <si>
    <t>Live</t>
  </si>
  <si>
    <t>Correlation Table</t>
  </si>
  <si>
    <t>Scatterplot</t>
  </si>
  <si>
    <t>Correlation</t>
  </si>
  <si>
    <t>Playoffs 2004</t>
  </si>
  <si>
    <t>Playoffs 2005</t>
  </si>
  <si>
    <t>Playoffs 2006</t>
  </si>
  <si>
    <t>Playoffs 2007</t>
  </si>
  <si>
    <t>Playoffs 2008</t>
  </si>
  <si>
    <t>Playoffs 2009</t>
  </si>
  <si>
    <t>No</t>
  </si>
  <si>
    <t>Yes</t>
  </si>
  <si>
    <t>Playoffs 2010</t>
  </si>
  <si>
    <t>Playoffs 2011</t>
  </si>
  <si>
    <t>Average of Salary 2004</t>
  </si>
  <si>
    <t>Row Labels</t>
  </si>
  <si>
    <t>Grand Total</t>
  </si>
  <si>
    <t>Average of Salary 2011</t>
  </si>
  <si>
    <t>Average of Salary 2010</t>
  </si>
  <si>
    <t>Average of Salary 2009</t>
  </si>
  <si>
    <t>Average of Salary 2008</t>
  </si>
  <si>
    <t>Average of Salary 2007</t>
  </si>
  <si>
    <t>Average of Salary 2005</t>
  </si>
  <si>
    <t>Average of Salary 2006</t>
  </si>
  <si>
    <t>Percent higher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</si>
</sst>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0.000"/>
    <numFmt numFmtId="166" formatCode="0.0%"/>
  </numFmts>
  <fonts count="14"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8"/>
      <color indexed="81"/>
      <name val="Tahoma"/>
      <family val="2"/>
    </font>
    <font>
      <b/>
      <sz val="8"/>
      <color indexed="81"/>
      <name val="Tahoma"/>
      <family val="2"/>
    </font>
    <font>
      <sz val="11"/>
      <name val="Calibri"/>
      <family val="2"/>
      <scheme val="minor"/>
    </font>
    <font>
      <sz val="9"/>
      <color indexed="81"/>
      <name val="Tahoma"/>
      <family val="2"/>
    </font>
    <font>
      <b/>
      <sz val="9"/>
      <color indexed="81"/>
      <name val="Tahoma"/>
      <family val="2"/>
    </font>
    <font>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5">
    <fill>
      <patternFill patternType="none"/>
    </fill>
    <fill>
      <patternFill patternType="gray125"/>
    </fill>
    <fill>
      <patternFill patternType="solid">
        <fgColor theme="6" tint="0.59999389629810485"/>
        <bgColor indexed="64"/>
      </patternFill>
    </fill>
    <fill>
      <patternFill patternType="solid">
        <fgColor theme="6" tint="-0.249977111117893"/>
        <bgColor indexed="64"/>
      </patternFill>
    </fill>
    <fill>
      <patternFill patternType="solid">
        <fgColor rgb="FFC0C0C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2">
    <xf numFmtId="0" fontId="0" fillId="0" borderId="0"/>
    <xf numFmtId="9" fontId="9" fillId="0" borderId="0" applyFont="0" applyFill="0" applyBorder="0" applyAlignment="0" applyProtection="0"/>
  </cellStyleXfs>
  <cellXfs count="42">
    <xf numFmtId="0" fontId="0" fillId="0" borderId="0" xfId="0"/>
    <xf numFmtId="164" fontId="0" fillId="0" borderId="0" xfId="0" applyNumberFormat="1"/>
    <xf numFmtId="0" fontId="2" fillId="0" borderId="0" xfId="0" applyFont="1" applyAlignment="1">
      <alignment horizontal="right"/>
    </xf>
    <xf numFmtId="0" fontId="2" fillId="0" borderId="0" xfId="0" applyFont="1" applyAlignment="1">
      <alignment horizontal="left"/>
    </xf>
    <xf numFmtId="1" fontId="0" fillId="0" borderId="0" xfId="0" applyNumberFormat="1"/>
    <xf numFmtId="1" fontId="2" fillId="0" borderId="0" xfId="0" applyNumberFormat="1" applyFont="1" applyAlignment="1">
      <alignment horizontal="right"/>
    </xf>
    <xf numFmtId="1" fontId="0" fillId="2" borderId="0" xfId="0" applyNumberFormat="1" applyFill="1"/>
    <xf numFmtId="1" fontId="0" fillId="3" borderId="0" xfId="0" applyNumberFormat="1" applyFill="1"/>
    <xf numFmtId="1" fontId="6" fillId="3" borderId="0" xfId="0" applyNumberFormat="1" applyFont="1" applyFill="1"/>
    <xf numFmtId="1" fontId="1" fillId="3" borderId="0" xfId="0" applyNumberFormat="1" applyFont="1" applyFill="1"/>
    <xf numFmtId="1" fontId="3" fillId="3" borderId="0" xfId="0" applyNumberFormat="1" applyFont="1" applyFill="1"/>
    <xf numFmtId="1" fontId="0" fillId="0" borderId="0" xfId="0" applyNumberFormat="1" applyFill="1"/>
    <xf numFmtId="0" fontId="0" fillId="0" borderId="0" xfId="0" applyAlignment="1">
      <alignment horizontal="left"/>
    </xf>
    <xf numFmtId="1" fontId="0" fillId="0" borderId="0" xfId="0" applyNumberFormat="1" applyAlignment="1">
      <alignment horizontal="left"/>
    </xf>
    <xf numFmtId="0" fontId="10" fillId="4" borderId="0" xfId="0" applyFont="1" applyFill="1"/>
    <xf numFmtId="0" fontId="10" fillId="4" borderId="1" xfId="0" applyFont="1" applyFill="1" applyBorder="1"/>
    <xf numFmtId="0" fontId="11" fillId="4" borderId="0" xfId="0" applyFont="1" applyFill="1" applyAlignment="1">
      <alignment horizontal="right"/>
    </xf>
    <xf numFmtId="0" fontId="11" fillId="4" borderId="1" xfId="0" applyFont="1" applyFill="1" applyBorder="1" applyAlignment="1">
      <alignment horizontal="right"/>
    </xf>
    <xf numFmtId="0" fontId="10" fillId="4" borderId="0" xfId="0" applyFont="1" applyFill="1" applyAlignment="1">
      <alignment horizontal="left"/>
    </xf>
    <xf numFmtId="0" fontId="10" fillId="4" borderId="1" xfId="0" applyFont="1" applyFill="1" applyBorder="1" applyAlignment="1">
      <alignment horizontal="left"/>
    </xf>
    <xf numFmtId="0" fontId="12" fillId="4" borderId="0" xfId="0" applyFont="1" applyFill="1" applyAlignment="1">
      <alignment horizontal="left"/>
    </xf>
    <xf numFmtId="0" fontId="0" fillId="0" borderId="0" xfId="0" applyAlignment="1">
      <alignment horizontal="center"/>
    </xf>
    <xf numFmtId="49" fontId="11" fillId="0" borderId="0" xfId="0" applyNumberFormat="1" applyFont="1" applyAlignment="1">
      <alignment horizontal="center"/>
    </xf>
    <xf numFmtId="49" fontId="11" fillId="0" borderId="2" xfId="0" applyNumberFormat="1" applyFont="1" applyFill="1" applyBorder="1" applyAlignment="1">
      <alignment horizontal="center"/>
    </xf>
    <xf numFmtId="49" fontId="11" fillId="0" borderId="0" xfId="0" applyNumberFormat="1" applyFont="1" applyAlignment="1">
      <alignment horizontal="left"/>
    </xf>
    <xf numFmtId="49" fontId="13" fillId="0" borderId="0" xfId="0" applyNumberFormat="1" applyFont="1" applyAlignment="1">
      <alignment horizontal="left"/>
    </xf>
    <xf numFmtId="49" fontId="13" fillId="0" borderId="2" xfId="0" applyNumberFormat="1" applyFont="1" applyFill="1" applyBorder="1" applyAlignment="1">
      <alignment horizontal="left"/>
    </xf>
    <xf numFmtId="165" fontId="0" fillId="0" borderId="0" xfId="0" applyNumberFormat="1" applyAlignment="1">
      <alignment horizontal="center"/>
    </xf>
    <xf numFmtId="0" fontId="10" fillId="0" borderId="0" xfId="0" applyFont="1"/>
    <xf numFmtId="165" fontId="10" fillId="0" borderId="0" xfId="0" applyNumberFormat="1" applyFont="1" applyAlignment="1">
      <alignment horizontal="center"/>
    </xf>
    <xf numFmtId="0" fontId="2" fillId="0" borderId="0" xfId="0" applyFont="1" applyAlignment="1">
      <alignment horizontal="center"/>
    </xf>
    <xf numFmtId="1" fontId="0" fillId="0" borderId="0" xfId="0" applyNumberFormat="1" applyAlignment="1">
      <alignment horizontal="center"/>
    </xf>
    <xf numFmtId="1" fontId="0" fillId="2" borderId="0" xfId="0" applyNumberFormat="1" applyFill="1" applyAlignment="1">
      <alignment horizontal="center"/>
    </xf>
    <xf numFmtId="1" fontId="3" fillId="3" borderId="0" xfId="0" applyNumberFormat="1" applyFont="1" applyFill="1" applyAlignment="1">
      <alignment horizontal="center"/>
    </xf>
    <xf numFmtId="1" fontId="0" fillId="3" borderId="0" xfId="0" applyNumberFormat="1" applyFill="1" applyAlignment="1">
      <alignment horizontal="center"/>
    </xf>
    <xf numFmtId="1" fontId="1" fillId="3" borderId="0" xfId="0" applyNumberFormat="1" applyFont="1" applyFill="1" applyAlignment="1">
      <alignment horizontal="center"/>
    </xf>
    <xf numFmtId="1" fontId="6" fillId="3" borderId="0" xfId="0" applyNumberFormat="1" applyFont="1" applyFill="1" applyAlignment="1">
      <alignment horizontal="center"/>
    </xf>
    <xf numFmtId="1" fontId="0" fillId="0" borderId="0" xfId="0" applyNumberFormat="1" applyFill="1" applyAlignment="1">
      <alignment horizontal="center"/>
    </xf>
    <xf numFmtId="1" fontId="0" fillId="3" borderId="0" xfId="0" applyNumberFormat="1" applyFont="1" applyFill="1" applyAlignment="1">
      <alignment horizontal="center"/>
    </xf>
    <xf numFmtId="0" fontId="0" fillId="0" borderId="0" xfId="0" pivotButton="1"/>
    <xf numFmtId="10" fontId="0" fillId="0" borderId="0" xfId="1" applyNumberFormat="1" applyFont="1"/>
    <xf numFmtId="166" fontId="0" fillId="0" borderId="0" xfId="1" applyNumberFormat="1" applyFont="1"/>
  </cellXfs>
  <cellStyles count="2">
    <cellStyle name="Normal" xfId="0" builtinId="0" customBuiltin="1"/>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2004 vs Salary 2004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Scatterplot!ScatterX_C3874</c:f>
              <c:numCache>
                <c:formatCode>General</c:formatCode>
                <c:ptCount val="30"/>
                <c:pt idx="0">
                  <c:v>1594832</c:v>
                </c:pt>
                <c:pt idx="1">
                  <c:v>3266573</c:v>
                </c:pt>
                <c:pt idx="2">
                  <c:v>1721832</c:v>
                </c:pt>
                <c:pt idx="3">
                  <c:v>3714530</c:v>
                </c:pt>
                <c:pt idx="4">
                  <c:v>3504285</c:v>
                </c:pt>
                <c:pt idx="5">
                  <c:v>2567749</c:v>
                </c:pt>
                <c:pt idx="6">
                  <c:v>1367389</c:v>
                </c:pt>
                <c:pt idx="7">
                  <c:v>1220378</c:v>
                </c:pt>
                <c:pt idx="8">
                  <c:v>1736715</c:v>
                </c:pt>
                <c:pt idx="9">
                  <c:v>1579289</c:v>
                </c:pt>
                <c:pt idx="10">
                  <c:v>2528764</c:v>
                </c:pt>
                <c:pt idx="11">
                  <c:v>1111106</c:v>
                </c:pt>
                <c:pt idx="12">
                  <c:v>3644588</c:v>
                </c:pt>
                <c:pt idx="13">
                  <c:v>3293894</c:v>
                </c:pt>
                <c:pt idx="14">
                  <c:v>2114487</c:v>
                </c:pt>
                <c:pt idx="15">
                  <c:v>1044291</c:v>
                </c:pt>
                <c:pt idx="16">
                  <c:v>1893142</c:v>
                </c:pt>
                <c:pt idx="17">
                  <c:v>3343244</c:v>
                </c:pt>
                <c:pt idx="18">
                  <c:v>6382187</c:v>
                </c:pt>
                <c:pt idx="19">
                  <c:v>2420382</c:v>
                </c:pt>
                <c:pt idx="20">
                  <c:v>3250919</c:v>
                </c:pt>
                <c:pt idx="21">
                  <c:v>917126</c:v>
                </c:pt>
                <c:pt idx="22">
                  <c:v>2016885</c:v>
                </c:pt>
                <c:pt idx="23">
                  <c:v>2871616</c:v>
                </c:pt>
                <c:pt idx="24">
                  <c:v>1923790</c:v>
                </c:pt>
                <c:pt idx="25">
                  <c:v>3194667</c:v>
                </c:pt>
                <c:pt idx="26">
                  <c:v>1097548</c:v>
                </c:pt>
                <c:pt idx="27">
                  <c:v>1625010</c:v>
                </c:pt>
                <c:pt idx="28">
                  <c:v>1635285</c:v>
                </c:pt>
                <c:pt idx="29">
                  <c:v>1226455</c:v>
                </c:pt>
              </c:numCache>
            </c:numRef>
          </c:xVal>
          <c:yVal>
            <c:numRef>
              <c:f>Scatterplot!ScatterY_C3874</c:f>
              <c:numCache>
                <c:formatCode>General</c:formatCode>
                <c:ptCount val="30"/>
                <c:pt idx="0">
                  <c:v>51</c:v>
                </c:pt>
                <c:pt idx="1">
                  <c:v>96</c:v>
                </c:pt>
                <c:pt idx="2">
                  <c:v>78</c:v>
                </c:pt>
                <c:pt idx="3">
                  <c:v>98</c:v>
                </c:pt>
                <c:pt idx="4">
                  <c:v>89</c:v>
                </c:pt>
                <c:pt idx="5">
                  <c:v>83</c:v>
                </c:pt>
                <c:pt idx="6">
                  <c:v>76</c:v>
                </c:pt>
                <c:pt idx="7">
                  <c:v>80</c:v>
                </c:pt>
                <c:pt idx="8">
                  <c:v>68</c:v>
                </c:pt>
                <c:pt idx="9">
                  <c:v>72</c:v>
                </c:pt>
                <c:pt idx="10">
                  <c:v>92</c:v>
                </c:pt>
                <c:pt idx="11">
                  <c:v>58</c:v>
                </c:pt>
                <c:pt idx="12">
                  <c:v>92</c:v>
                </c:pt>
                <c:pt idx="13">
                  <c:v>93</c:v>
                </c:pt>
                <c:pt idx="14">
                  <c:v>83</c:v>
                </c:pt>
                <c:pt idx="15">
                  <c:v>67</c:v>
                </c:pt>
                <c:pt idx="16">
                  <c:v>91</c:v>
                </c:pt>
                <c:pt idx="17">
                  <c:v>71</c:v>
                </c:pt>
                <c:pt idx="18">
                  <c:v>101</c:v>
                </c:pt>
                <c:pt idx="19">
                  <c:v>91</c:v>
                </c:pt>
                <c:pt idx="20">
                  <c:v>86</c:v>
                </c:pt>
                <c:pt idx="21">
                  <c:v>72</c:v>
                </c:pt>
                <c:pt idx="22">
                  <c:v>87</c:v>
                </c:pt>
                <c:pt idx="23">
                  <c:v>91</c:v>
                </c:pt>
                <c:pt idx="24">
                  <c:v>63</c:v>
                </c:pt>
                <c:pt idx="25">
                  <c:v>105</c:v>
                </c:pt>
                <c:pt idx="26">
                  <c:v>70</c:v>
                </c:pt>
                <c:pt idx="27">
                  <c:v>89</c:v>
                </c:pt>
                <c:pt idx="28">
                  <c:v>67</c:v>
                </c:pt>
                <c:pt idx="29">
                  <c:v>67</c:v>
                </c:pt>
              </c:numCache>
            </c:numRef>
          </c:yVal>
          <c:smooth val="0"/>
        </c:ser>
        <c:dLbls>
          <c:showLegendKey val="0"/>
          <c:showVal val="0"/>
          <c:showCatName val="0"/>
          <c:showSerName val="0"/>
          <c:showPercent val="0"/>
          <c:showBubbleSize val="0"/>
        </c:dLbls>
        <c:axId val="977195896"/>
        <c:axId val="977193152"/>
      </c:scatterChart>
      <c:valAx>
        <c:axId val="977195896"/>
        <c:scaling>
          <c:orientation val="minMax"/>
        </c:scaling>
        <c:delete val="0"/>
        <c:axPos val="b"/>
        <c:title>
          <c:tx>
            <c:rich>
              <a:bodyPr/>
              <a:lstStyle/>
              <a:p>
                <a:pPr>
                  <a:defRPr sz="800" b="0"/>
                </a:pPr>
                <a:r>
                  <a:rPr lang="en-US"/>
                  <a:t>Salary 2004 / Data Set #1</a:t>
                </a:r>
              </a:p>
            </c:rich>
          </c:tx>
          <c:layout/>
          <c:overlay val="0"/>
        </c:title>
        <c:numFmt formatCode="General" sourceLinked="0"/>
        <c:majorTickMark val="out"/>
        <c:minorTickMark val="none"/>
        <c:tickLblPos val="nextTo"/>
        <c:txPr>
          <a:bodyPr/>
          <a:lstStyle/>
          <a:p>
            <a:pPr>
              <a:defRPr sz="800" b="0"/>
            </a:pPr>
            <a:endParaRPr lang="en-US"/>
          </a:p>
        </c:txPr>
        <c:crossAx val="977193152"/>
        <c:crosses val="autoZero"/>
        <c:crossBetween val="midCat"/>
      </c:valAx>
      <c:valAx>
        <c:axId val="977193152"/>
        <c:scaling>
          <c:orientation val="minMax"/>
        </c:scaling>
        <c:delete val="0"/>
        <c:axPos val="l"/>
        <c:title>
          <c:tx>
            <c:rich>
              <a:bodyPr/>
              <a:lstStyle/>
              <a:p>
                <a:pPr>
                  <a:defRPr sz="800" b="0"/>
                </a:pPr>
                <a:r>
                  <a:rPr lang="en-US"/>
                  <a:t>Wins 2004 / Data Set #1</a:t>
                </a:r>
              </a:p>
            </c:rich>
          </c:tx>
          <c:layout/>
          <c:overlay val="0"/>
        </c:title>
        <c:numFmt formatCode="General" sourceLinked="0"/>
        <c:majorTickMark val="out"/>
        <c:minorTickMark val="none"/>
        <c:tickLblPos val="nextTo"/>
        <c:txPr>
          <a:bodyPr/>
          <a:lstStyle/>
          <a:p>
            <a:pPr>
              <a:defRPr sz="800" b="0"/>
            </a:pPr>
            <a:endParaRPr lang="en-US"/>
          </a:p>
        </c:txPr>
        <c:crossAx val="97719589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2005 vs Salary 2005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Scatterplot!ScatterX_EEF81</c:f>
              <c:numCache>
                <c:formatCode>General</c:formatCode>
                <c:ptCount val="30"/>
                <c:pt idx="0">
                  <c:v>2291093</c:v>
                </c:pt>
                <c:pt idx="1">
                  <c:v>3045938</c:v>
                </c:pt>
                <c:pt idx="2">
                  <c:v>2700738</c:v>
                </c:pt>
                <c:pt idx="3">
                  <c:v>4168466</c:v>
                </c:pt>
                <c:pt idx="4">
                  <c:v>2903423</c:v>
                </c:pt>
                <c:pt idx="5">
                  <c:v>2881675</c:v>
                </c:pt>
                <c:pt idx="6">
                  <c:v>1562528</c:v>
                </c:pt>
                <c:pt idx="7">
                  <c:v>1527704</c:v>
                </c:pt>
                <c:pt idx="8">
                  <c:v>1078734</c:v>
                </c:pt>
                <c:pt idx="9">
                  <c:v>2343467</c:v>
                </c:pt>
                <c:pt idx="10">
                  <c:v>2905946</c:v>
                </c:pt>
                <c:pt idx="11">
                  <c:v>1148717</c:v>
                </c:pt>
                <c:pt idx="12">
                  <c:v>3119308</c:v>
                </c:pt>
                <c:pt idx="13">
                  <c:v>2615430</c:v>
                </c:pt>
                <c:pt idx="14">
                  <c:v>1870086</c:v>
                </c:pt>
                <c:pt idx="15">
                  <c:v>1743476</c:v>
                </c:pt>
                <c:pt idx="16">
                  <c:v>1907247</c:v>
                </c:pt>
                <c:pt idx="17">
                  <c:v>3339685</c:v>
                </c:pt>
                <c:pt idx="18">
                  <c:v>7386451</c:v>
                </c:pt>
                <c:pt idx="19">
                  <c:v>2201000</c:v>
                </c:pt>
                <c:pt idx="20">
                  <c:v>3431991</c:v>
                </c:pt>
                <c:pt idx="21">
                  <c:v>963674</c:v>
                </c:pt>
                <c:pt idx="22">
                  <c:v>2677825</c:v>
                </c:pt>
                <c:pt idx="23">
                  <c:v>2994078</c:v>
                </c:pt>
                <c:pt idx="24">
                  <c:v>2113280</c:v>
                </c:pt>
                <c:pt idx="25">
                  <c:v>3401334</c:v>
                </c:pt>
                <c:pt idx="26">
                  <c:v>1107040</c:v>
                </c:pt>
                <c:pt idx="27">
                  <c:v>1759055</c:v>
                </c:pt>
                <c:pt idx="28">
                  <c:v>1721673</c:v>
                </c:pt>
                <c:pt idx="29">
                  <c:v>1906741</c:v>
                </c:pt>
              </c:numCache>
            </c:numRef>
          </c:xVal>
          <c:yVal>
            <c:numRef>
              <c:f>Scatterplot!ScatterY_EEF81</c:f>
              <c:numCache>
                <c:formatCode>General</c:formatCode>
                <c:ptCount val="30"/>
                <c:pt idx="0">
                  <c:v>77</c:v>
                </c:pt>
                <c:pt idx="1">
                  <c:v>90</c:v>
                </c:pt>
                <c:pt idx="2">
                  <c:v>74</c:v>
                </c:pt>
                <c:pt idx="3">
                  <c:v>95</c:v>
                </c:pt>
                <c:pt idx="4">
                  <c:v>79</c:v>
                </c:pt>
                <c:pt idx="5">
                  <c:v>99</c:v>
                </c:pt>
                <c:pt idx="6">
                  <c:v>73</c:v>
                </c:pt>
                <c:pt idx="7">
                  <c:v>93</c:v>
                </c:pt>
                <c:pt idx="8">
                  <c:v>67</c:v>
                </c:pt>
                <c:pt idx="9">
                  <c:v>71</c:v>
                </c:pt>
                <c:pt idx="10">
                  <c:v>89</c:v>
                </c:pt>
                <c:pt idx="11">
                  <c:v>56</c:v>
                </c:pt>
                <c:pt idx="12">
                  <c:v>95</c:v>
                </c:pt>
                <c:pt idx="13">
                  <c:v>71</c:v>
                </c:pt>
                <c:pt idx="14">
                  <c:v>83</c:v>
                </c:pt>
                <c:pt idx="15">
                  <c:v>81</c:v>
                </c:pt>
                <c:pt idx="16">
                  <c:v>83</c:v>
                </c:pt>
                <c:pt idx="17">
                  <c:v>83</c:v>
                </c:pt>
                <c:pt idx="18">
                  <c:v>95</c:v>
                </c:pt>
                <c:pt idx="19">
                  <c:v>88</c:v>
                </c:pt>
                <c:pt idx="20">
                  <c:v>88</c:v>
                </c:pt>
                <c:pt idx="21">
                  <c:v>67</c:v>
                </c:pt>
                <c:pt idx="22">
                  <c:v>82</c:v>
                </c:pt>
                <c:pt idx="23">
                  <c:v>75</c:v>
                </c:pt>
                <c:pt idx="24">
                  <c:v>69</c:v>
                </c:pt>
                <c:pt idx="25">
                  <c:v>100</c:v>
                </c:pt>
                <c:pt idx="26">
                  <c:v>67</c:v>
                </c:pt>
                <c:pt idx="27">
                  <c:v>79</c:v>
                </c:pt>
                <c:pt idx="28">
                  <c:v>80</c:v>
                </c:pt>
                <c:pt idx="29">
                  <c:v>81</c:v>
                </c:pt>
              </c:numCache>
            </c:numRef>
          </c:yVal>
          <c:smooth val="0"/>
        </c:ser>
        <c:dLbls>
          <c:showLegendKey val="0"/>
          <c:showVal val="0"/>
          <c:showCatName val="0"/>
          <c:showSerName val="0"/>
          <c:showPercent val="0"/>
          <c:showBubbleSize val="0"/>
        </c:dLbls>
        <c:axId val="977191584"/>
        <c:axId val="977191976"/>
      </c:scatterChart>
      <c:valAx>
        <c:axId val="977191584"/>
        <c:scaling>
          <c:orientation val="minMax"/>
        </c:scaling>
        <c:delete val="0"/>
        <c:axPos val="b"/>
        <c:title>
          <c:tx>
            <c:rich>
              <a:bodyPr/>
              <a:lstStyle/>
              <a:p>
                <a:pPr>
                  <a:defRPr sz="800" b="0"/>
                </a:pPr>
                <a:r>
                  <a:rPr lang="en-US"/>
                  <a:t>Salary 2005 / Data Set #1</a:t>
                </a:r>
              </a:p>
            </c:rich>
          </c:tx>
          <c:layout/>
          <c:overlay val="0"/>
        </c:title>
        <c:numFmt formatCode="General" sourceLinked="0"/>
        <c:majorTickMark val="out"/>
        <c:minorTickMark val="none"/>
        <c:tickLblPos val="nextTo"/>
        <c:txPr>
          <a:bodyPr/>
          <a:lstStyle/>
          <a:p>
            <a:pPr>
              <a:defRPr sz="800" b="0"/>
            </a:pPr>
            <a:endParaRPr lang="en-US"/>
          </a:p>
        </c:txPr>
        <c:crossAx val="977191976"/>
        <c:crosses val="autoZero"/>
        <c:crossBetween val="midCat"/>
      </c:valAx>
      <c:valAx>
        <c:axId val="977191976"/>
        <c:scaling>
          <c:orientation val="minMax"/>
        </c:scaling>
        <c:delete val="0"/>
        <c:axPos val="l"/>
        <c:title>
          <c:tx>
            <c:rich>
              <a:bodyPr/>
              <a:lstStyle/>
              <a:p>
                <a:pPr>
                  <a:defRPr sz="800" b="0"/>
                </a:pPr>
                <a:r>
                  <a:rPr lang="en-US"/>
                  <a:t>Wins 2005 / Data Set #1</a:t>
                </a:r>
              </a:p>
            </c:rich>
          </c:tx>
          <c:layout/>
          <c:overlay val="0"/>
        </c:title>
        <c:numFmt formatCode="General" sourceLinked="0"/>
        <c:majorTickMark val="out"/>
        <c:minorTickMark val="none"/>
        <c:tickLblPos val="nextTo"/>
        <c:txPr>
          <a:bodyPr/>
          <a:lstStyle/>
          <a:p>
            <a:pPr>
              <a:defRPr sz="800" b="0"/>
            </a:pPr>
            <a:endParaRPr lang="en-US"/>
          </a:p>
        </c:txPr>
        <c:crossAx val="97719158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2006 vs Salary 2006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Scatterplot!ScatterX_D7115</c:f>
              <c:numCache>
                <c:formatCode>General</c:formatCode>
                <c:ptCount val="30"/>
                <c:pt idx="0">
                  <c:v>1788827</c:v>
                </c:pt>
                <c:pt idx="1">
                  <c:v>2714789</c:v>
                </c:pt>
                <c:pt idx="2">
                  <c:v>2580843</c:v>
                </c:pt>
                <c:pt idx="3">
                  <c:v>3986768</c:v>
                </c:pt>
                <c:pt idx="4">
                  <c:v>2694272</c:v>
                </c:pt>
                <c:pt idx="5">
                  <c:v>3807074</c:v>
                </c:pt>
                <c:pt idx="6">
                  <c:v>2304438</c:v>
                </c:pt>
                <c:pt idx="7">
                  <c:v>1481261</c:v>
                </c:pt>
                <c:pt idx="8">
                  <c:v>1833905</c:v>
                </c:pt>
                <c:pt idx="9">
                  <c:v>3061749</c:v>
                </c:pt>
                <c:pt idx="10">
                  <c:v>4283240</c:v>
                </c:pt>
                <c:pt idx="11">
                  <c:v>1624478</c:v>
                </c:pt>
                <c:pt idx="12">
                  <c:v>3033520</c:v>
                </c:pt>
                <c:pt idx="13">
                  <c:v>3467653</c:v>
                </c:pt>
                <c:pt idx="14">
                  <c:v>594722</c:v>
                </c:pt>
                <c:pt idx="15">
                  <c:v>2160012</c:v>
                </c:pt>
                <c:pt idx="16">
                  <c:v>2576988</c:v>
                </c:pt>
                <c:pt idx="17">
                  <c:v>3859172</c:v>
                </c:pt>
                <c:pt idx="18">
                  <c:v>6947232</c:v>
                </c:pt>
                <c:pt idx="19">
                  <c:v>2487968</c:v>
                </c:pt>
                <c:pt idx="20">
                  <c:v>2622260</c:v>
                </c:pt>
                <c:pt idx="21">
                  <c:v>1078440</c:v>
                </c:pt>
                <c:pt idx="22">
                  <c:v>2539837</c:v>
                </c:pt>
                <c:pt idx="23">
                  <c:v>3479123</c:v>
                </c:pt>
                <c:pt idx="24">
                  <c:v>2801609</c:v>
                </c:pt>
                <c:pt idx="25">
                  <c:v>3775022</c:v>
                </c:pt>
                <c:pt idx="26">
                  <c:v>747536</c:v>
                </c:pt>
                <c:pt idx="27">
                  <c:v>2377325</c:v>
                </c:pt>
                <c:pt idx="28">
                  <c:v>2190340</c:v>
                </c:pt>
                <c:pt idx="29">
                  <c:v>1705821</c:v>
                </c:pt>
              </c:numCache>
            </c:numRef>
          </c:xVal>
          <c:yVal>
            <c:numRef>
              <c:f>Scatterplot!ScatterY_D7115</c:f>
              <c:numCache>
                <c:formatCode>General</c:formatCode>
                <c:ptCount val="30"/>
                <c:pt idx="0">
                  <c:v>76</c:v>
                </c:pt>
                <c:pt idx="1">
                  <c:v>79</c:v>
                </c:pt>
                <c:pt idx="2">
                  <c:v>70</c:v>
                </c:pt>
                <c:pt idx="3">
                  <c:v>86</c:v>
                </c:pt>
                <c:pt idx="4">
                  <c:v>66</c:v>
                </c:pt>
                <c:pt idx="5">
                  <c:v>90</c:v>
                </c:pt>
                <c:pt idx="6">
                  <c:v>80</c:v>
                </c:pt>
                <c:pt idx="7">
                  <c:v>78</c:v>
                </c:pt>
                <c:pt idx="8">
                  <c:v>76</c:v>
                </c:pt>
                <c:pt idx="9">
                  <c:v>95</c:v>
                </c:pt>
                <c:pt idx="10">
                  <c:v>82</c:v>
                </c:pt>
                <c:pt idx="11">
                  <c:v>62</c:v>
                </c:pt>
                <c:pt idx="12">
                  <c:v>89</c:v>
                </c:pt>
                <c:pt idx="13">
                  <c:v>88</c:v>
                </c:pt>
                <c:pt idx="14">
                  <c:v>78</c:v>
                </c:pt>
                <c:pt idx="15">
                  <c:v>75</c:v>
                </c:pt>
                <c:pt idx="16">
                  <c:v>96</c:v>
                </c:pt>
                <c:pt idx="17">
                  <c:v>97</c:v>
                </c:pt>
                <c:pt idx="18">
                  <c:v>97</c:v>
                </c:pt>
                <c:pt idx="19">
                  <c:v>93</c:v>
                </c:pt>
                <c:pt idx="20">
                  <c:v>85</c:v>
                </c:pt>
                <c:pt idx="21">
                  <c:v>67</c:v>
                </c:pt>
                <c:pt idx="22">
                  <c:v>88</c:v>
                </c:pt>
                <c:pt idx="23">
                  <c:v>76</c:v>
                </c:pt>
                <c:pt idx="24">
                  <c:v>78</c:v>
                </c:pt>
                <c:pt idx="25">
                  <c:v>83</c:v>
                </c:pt>
                <c:pt idx="26">
                  <c:v>61</c:v>
                </c:pt>
                <c:pt idx="27">
                  <c:v>80</c:v>
                </c:pt>
                <c:pt idx="28">
                  <c:v>87</c:v>
                </c:pt>
                <c:pt idx="29">
                  <c:v>71</c:v>
                </c:pt>
              </c:numCache>
            </c:numRef>
          </c:yVal>
          <c:smooth val="0"/>
        </c:ser>
        <c:dLbls>
          <c:showLegendKey val="0"/>
          <c:showVal val="0"/>
          <c:showCatName val="0"/>
          <c:showSerName val="0"/>
          <c:showPercent val="0"/>
          <c:showBubbleSize val="0"/>
        </c:dLbls>
        <c:axId val="977189624"/>
        <c:axId val="977193544"/>
      </c:scatterChart>
      <c:valAx>
        <c:axId val="977189624"/>
        <c:scaling>
          <c:orientation val="minMax"/>
        </c:scaling>
        <c:delete val="0"/>
        <c:axPos val="b"/>
        <c:title>
          <c:tx>
            <c:rich>
              <a:bodyPr/>
              <a:lstStyle/>
              <a:p>
                <a:pPr>
                  <a:defRPr sz="800" b="0"/>
                </a:pPr>
                <a:r>
                  <a:rPr lang="en-US"/>
                  <a:t>Salary 2006 / Data Set #1</a:t>
                </a:r>
              </a:p>
            </c:rich>
          </c:tx>
          <c:layout/>
          <c:overlay val="0"/>
        </c:title>
        <c:numFmt formatCode="General" sourceLinked="0"/>
        <c:majorTickMark val="out"/>
        <c:minorTickMark val="none"/>
        <c:tickLblPos val="nextTo"/>
        <c:txPr>
          <a:bodyPr/>
          <a:lstStyle/>
          <a:p>
            <a:pPr>
              <a:defRPr sz="800" b="0"/>
            </a:pPr>
            <a:endParaRPr lang="en-US"/>
          </a:p>
        </c:txPr>
        <c:crossAx val="977193544"/>
        <c:crosses val="autoZero"/>
        <c:crossBetween val="midCat"/>
      </c:valAx>
      <c:valAx>
        <c:axId val="977193544"/>
        <c:scaling>
          <c:orientation val="minMax"/>
        </c:scaling>
        <c:delete val="0"/>
        <c:axPos val="l"/>
        <c:title>
          <c:tx>
            <c:rich>
              <a:bodyPr/>
              <a:lstStyle/>
              <a:p>
                <a:pPr>
                  <a:defRPr sz="800" b="0"/>
                </a:pPr>
                <a:r>
                  <a:rPr lang="en-US"/>
                  <a:t>Wins 2006 / Data Set #1</a:t>
                </a:r>
              </a:p>
            </c:rich>
          </c:tx>
          <c:layout/>
          <c:overlay val="0"/>
        </c:title>
        <c:numFmt formatCode="General" sourceLinked="0"/>
        <c:majorTickMark val="out"/>
        <c:minorTickMark val="none"/>
        <c:tickLblPos val="nextTo"/>
        <c:txPr>
          <a:bodyPr/>
          <a:lstStyle/>
          <a:p>
            <a:pPr>
              <a:defRPr sz="800" b="0"/>
            </a:pPr>
            <a:endParaRPr lang="en-US"/>
          </a:p>
        </c:txPr>
        <c:crossAx val="97718962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2007 vs Salary 2007 of Data Set #1</a:t>
            </a:r>
          </a:p>
        </c:rich>
      </c:tx>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Scatterplot!ScatterX_3F914</c:f>
              <c:numCache>
                <c:formatCode>General</c:formatCode>
                <c:ptCount val="30"/>
                <c:pt idx="0">
                  <c:v>1899437</c:v>
                </c:pt>
                <c:pt idx="1">
                  <c:v>3121155</c:v>
                </c:pt>
                <c:pt idx="2">
                  <c:v>3049758</c:v>
                </c:pt>
                <c:pt idx="3">
                  <c:v>5456506</c:v>
                </c:pt>
                <c:pt idx="4">
                  <c:v>3903005</c:v>
                </c:pt>
                <c:pt idx="5">
                  <c:v>3718332</c:v>
                </c:pt>
                <c:pt idx="6">
                  <c:v>2042331</c:v>
                </c:pt>
                <c:pt idx="7">
                  <c:v>2535472</c:v>
                </c:pt>
                <c:pt idx="8">
                  <c:v>1831818</c:v>
                </c:pt>
                <c:pt idx="9">
                  <c:v>2777021</c:v>
                </c:pt>
                <c:pt idx="10">
                  <c:v>2901852</c:v>
                </c:pt>
                <c:pt idx="11">
                  <c:v>1753368</c:v>
                </c:pt>
                <c:pt idx="12">
                  <c:v>3341379</c:v>
                </c:pt>
                <c:pt idx="13">
                  <c:v>3988311</c:v>
                </c:pt>
                <c:pt idx="14">
                  <c:v>1294724</c:v>
                </c:pt>
                <c:pt idx="15">
                  <c:v>2602110</c:v>
                </c:pt>
                <c:pt idx="16">
                  <c:v>1966060</c:v>
                </c:pt>
                <c:pt idx="17">
                  <c:v>4152777</c:v>
                </c:pt>
                <c:pt idx="18">
                  <c:v>7465730</c:v>
                </c:pt>
                <c:pt idx="19">
                  <c:v>1659783</c:v>
                </c:pt>
                <c:pt idx="20">
                  <c:v>2971835</c:v>
                </c:pt>
                <c:pt idx="21">
                  <c:v>1871402</c:v>
                </c:pt>
                <c:pt idx="22">
                  <c:v>2388654</c:v>
                </c:pt>
                <c:pt idx="23">
                  <c:v>3095131</c:v>
                </c:pt>
                <c:pt idx="24">
                  <c:v>3704492</c:v>
                </c:pt>
                <c:pt idx="25">
                  <c:v>3150604</c:v>
                </c:pt>
                <c:pt idx="26">
                  <c:v>906041</c:v>
                </c:pt>
                <c:pt idx="27">
                  <c:v>1645626</c:v>
                </c:pt>
                <c:pt idx="28">
                  <c:v>2751604</c:v>
                </c:pt>
                <c:pt idx="29">
                  <c:v>1286872</c:v>
                </c:pt>
              </c:numCache>
            </c:numRef>
          </c:xVal>
          <c:yVal>
            <c:numRef>
              <c:f>Scatterplot!ScatterY_3F914</c:f>
              <c:numCache>
                <c:formatCode>General</c:formatCode>
                <c:ptCount val="30"/>
                <c:pt idx="0">
                  <c:v>90</c:v>
                </c:pt>
                <c:pt idx="1">
                  <c:v>84</c:v>
                </c:pt>
                <c:pt idx="2">
                  <c:v>69</c:v>
                </c:pt>
                <c:pt idx="3">
                  <c:v>96</c:v>
                </c:pt>
                <c:pt idx="4">
                  <c:v>85</c:v>
                </c:pt>
                <c:pt idx="5">
                  <c:v>72</c:v>
                </c:pt>
                <c:pt idx="6">
                  <c:v>72</c:v>
                </c:pt>
                <c:pt idx="7">
                  <c:v>97</c:v>
                </c:pt>
                <c:pt idx="8">
                  <c:v>90</c:v>
                </c:pt>
                <c:pt idx="9">
                  <c:v>88</c:v>
                </c:pt>
                <c:pt idx="10">
                  <c:v>73</c:v>
                </c:pt>
                <c:pt idx="11">
                  <c:v>69</c:v>
                </c:pt>
                <c:pt idx="12">
                  <c:v>94</c:v>
                </c:pt>
                <c:pt idx="13">
                  <c:v>82</c:v>
                </c:pt>
                <c:pt idx="14">
                  <c:v>71</c:v>
                </c:pt>
                <c:pt idx="15">
                  <c:v>83</c:v>
                </c:pt>
                <c:pt idx="16">
                  <c:v>79</c:v>
                </c:pt>
                <c:pt idx="17">
                  <c:v>88</c:v>
                </c:pt>
                <c:pt idx="18">
                  <c:v>94</c:v>
                </c:pt>
                <c:pt idx="19">
                  <c:v>76</c:v>
                </c:pt>
                <c:pt idx="20">
                  <c:v>89</c:v>
                </c:pt>
                <c:pt idx="21">
                  <c:v>68</c:v>
                </c:pt>
                <c:pt idx="22">
                  <c:v>89</c:v>
                </c:pt>
                <c:pt idx="23">
                  <c:v>71</c:v>
                </c:pt>
                <c:pt idx="24">
                  <c:v>88</c:v>
                </c:pt>
                <c:pt idx="25">
                  <c:v>78</c:v>
                </c:pt>
                <c:pt idx="26">
                  <c:v>66</c:v>
                </c:pt>
                <c:pt idx="27">
                  <c:v>75</c:v>
                </c:pt>
                <c:pt idx="28">
                  <c:v>83</c:v>
                </c:pt>
                <c:pt idx="29">
                  <c:v>73</c:v>
                </c:pt>
              </c:numCache>
            </c:numRef>
          </c:yVal>
          <c:smooth val="0"/>
        </c:ser>
        <c:dLbls>
          <c:showLegendKey val="0"/>
          <c:showVal val="0"/>
          <c:showCatName val="0"/>
          <c:showSerName val="0"/>
          <c:showPercent val="0"/>
          <c:showBubbleSize val="0"/>
        </c:dLbls>
        <c:axId val="977195112"/>
        <c:axId val="977189232"/>
      </c:scatterChart>
      <c:valAx>
        <c:axId val="977195112"/>
        <c:scaling>
          <c:orientation val="minMax"/>
        </c:scaling>
        <c:delete val="0"/>
        <c:axPos val="b"/>
        <c:title>
          <c:tx>
            <c:rich>
              <a:bodyPr/>
              <a:lstStyle/>
              <a:p>
                <a:pPr>
                  <a:defRPr sz="800" b="0"/>
                </a:pPr>
                <a:r>
                  <a:rPr lang="en-US"/>
                  <a:t>Salary 2007 / Data Set #1</a:t>
                </a:r>
              </a:p>
            </c:rich>
          </c:tx>
          <c:overlay val="0"/>
        </c:title>
        <c:numFmt formatCode="General" sourceLinked="0"/>
        <c:majorTickMark val="out"/>
        <c:minorTickMark val="none"/>
        <c:tickLblPos val="nextTo"/>
        <c:txPr>
          <a:bodyPr/>
          <a:lstStyle/>
          <a:p>
            <a:pPr>
              <a:defRPr sz="800" b="0"/>
            </a:pPr>
            <a:endParaRPr lang="en-US"/>
          </a:p>
        </c:txPr>
        <c:crossAx val="977189232"/>
        <c:crosses val="autoZero"/>
        <c:crossBetween val="midCat"/>
      </c:valAx>
      <c:valAx>
        <c:axId val="977189232"/>
        <c:scaling>
          <c:orientation val="minMax"/>
        </c:scaling>
        <c:delete val="0"/>
        <c:axPos val="l"/>
        <c:title>
          <c:tx>
            <c:rich>
              <a:bodyPr/>
              <a:lstStyle/>
              <a:p>
                <a:pPr>
                  <a:defRPr sz="800" b="0"/>
                </a:pPr>
                <a:r>
                  <a:rPr lang="en-US"/>
                  <a:t>Wins 2007 / Data Set #1</a:t>
                </a:r>
              </a:p>
            </c:rich>
          </c:tx>
          <c:overlay val="0"/>
        </c:title>
        <c:numFmt formatCode="General" sourceLinked="0"/>
        <c:majorTickMark val="out"/>
        <c:minorTickMark val="none"/>
        <c:tickLblPos val="nextTo"/>
        <c:txPr>
          <a:bodyPr/>
          <a:lstStyle/>
          <a:p>
            <a:pPr>
              <a:defRPr sz="800" b="0"/>
            </a:pPr>
            <a:endParaRPr lang="en-US"/>
          </a:p>
        </c:txPr>
        <c:crossAx val="977195112"/>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2008 vs Salary 2008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Scatterplot!ScatterX_129F3</c:f>
              <c:numCache>
                <c:formatCode>General</c:formatCode>
                <c:ptCount val="30"/>
                <c:pt idx="0">
                  <c:v>2364383</c:v>
                </c:pt>
                <c:pt idx="1">
                  <c:v>3412189</c:v>
                </c:pt>
                <c:pt idx="2">
                  <c:v>2099883</c:v>
                </c:pt>
                <c:pt idx="3">
                  <c:v>4763930</c:v>
                </c:pt>
                <c:pt idx="4">
                  <c:v>4383179</c:v>
                </c:pt>
                <c:pt idx="5">
                  <c:v>4488494</c:v>
                </c:pt>
                <c:pt idx="6">
                  <c:v>2647061</c:v>
                </c:pt>
                <c:pt idx="7">
                  <c:v>3037310</c:v>
                </c:pt>
                <c:pt idx="8">
                  <c:v>2640596</c:v>
                </c:pt>
                <c:pt idx="9">
                  <c:v>4589507</c:v>
                </c:pt>
                <c:pt idx="10">
                  <c:v>3293719</c:v>
                </c:pt>
                <c:pt idx="11">
                  <c:v>2240212</c:v>
                </c:pt>
                <c:pt idx="12">
                  <c:v>4110908</c:v>
                </c:pt>
                <c:pt idx="13">
                  <c:v>4089260</c:v>
                </c:pt>
                <c:pt idx="14">
                  <c:v>660955</c:v>
                </c:pt>
                <c:pt idx="15">
                  <c:v>2790948</c:v>
                </c:pt>
                <c:pt idx="16">
                  <c:v>2277311</c:v>
                </c:pt>
                <c:pt idx="17">
                  <c:v>4593113</c:v>
                </c:pt>
                <c:pt idx="18">
                  <c:v>6744567</c:v>
                </c:pt>
                <c:pt idx="19">
                  <c:v>1713112</c:v>
                </c:pt>
                <c:pt idx="20">
                  <c:v>3388617</c:v>
                </c:pt>
                <c:pt idx="21">
                  <c:v>1872684</c:v>
                </c:pt>
                <c:pt idx="22">
                  <c:v>2376697</c:v>
                </c:pt>
                <c:pt idx="23">
                  <c:v>2641190</c:v>
                </c:pt>
                <c:pt idx="24">
                  <c:v>4525634</c:v>
                </c:pt>
                <c:pt idx="25">
                  <c:v>3018923</c:v>
                </c:pt>
                <c:pt idx="26">
                  <c:v>1458187</c:v>
                </c:pt>
                <c:pt idx="27">
                  <c:v>2334908</c:v>
                </c:pt>
                <c:pt idx="28">
                  <c:v>3621996</c:v>
                </c:pt>
                <c:pt idx="29">
                  <c:v>1895207</c:v>
                </c:pt>
              </c:numCache>
            </c:numRef>
          </c:xVal>
          <c:yVal>
            <c:numRef>
              <c:f>Scatterplot!ScatterY_129F3</c:f>
              <c:numCache>
                <c:formatCode>General</c:formatCode>
                <c:ptCount val="30"/>
                <c:pt idx="0">
                  <c:v>82</c:v>
                </c:pt>
                <c:pt idx="1">
                  <c:v>72</c:v>
                </c:pt>
                <c:pt idx="2">
                  <c:v>68</c:v>
                </c:pt>
                <c:pt idx="3">
                  <c:v>95</c:v>
                </c:pt>
                <c:pt idx="4">
                  <c:v>97</c:v>
                </c:pt>
                <c:pt idx="5">
                  <c:v>89</c:v>
                </c:pt>
                <c:pt idx="6">
                  <c:v>74</c:v>
                </c:pt>
                <c:pt idx="7">
                  <c:v>81</c:v>
                </c:pt>
                <c:pt idx="8">
                  <c:v>74</c:v>
                </c:pt>
                <c:pt idx="9">
                  <c:v>74</c:v>
                </c:pt>
                <c:pt idx="10">
                  <c:v>86</c:v>
                </c:pt>
                <c:pt idx="11">
                  <c:v>75</c:v>
                </c:pt>
                <c:pt idx="12">
                  <c:v>100</c:v>
                </c:pt>
                <c:pt idx="13">
                  <c:v>84</c:v>
                </c:pt>
                <c:pt idx="14">
                  <c:v>84</c:v>
                </c:pt>
                <c:pt idx="15">
                  <c:v>90</c:v>
                </c:pt>
                <c:pt idx="16">
                  <c:v>88</c:v>
                </c:pt>
                <c:pt idx="17">
                  <c:v>89</c:v>
                </c:pt>
                <c:pt idx="18">
                  <c:v>89</c:v>
                </c:pt>
                <c:pt idx="19">
                  <c:v>75</c:v>
                </c:pt>
                <c:pt idx="20">
                  <c:v>92</c:v>
                </c:pt>
                <c:pt idx="21">
                  <c:v>67</c:v>
                </c:pt>
                <c:pt idx="22">
                  <c:v>63</c:v>
                </c:pt>
                <c:pt idx="23">
                  <c:v>72</c:v>
                </c:pt>
                <c:pt idx="24">
                  <c:v>61</c:v>
                </c:pt>
                <c:pt idx="25">
                  <c:v>86</c:v>
                </c:pt>
                <c:pt idx="26">
                  <c:v>97</c:v>
                </c:pt>
                <c:pt idx="27">
                  <c:v>79</c:v>
                </c:pt>
                <c:pt idx="28">
                  <c:v>86</c:v>
                </c:pt>
                <c:pt idx="29">
                  <c:v>59</c:v>
                </c:pt>
              </c:numCache>
            </c:numRef>
          </c:yVal>
          <c:smooth val="0"/>
        </c:ser>
        <c:dLbls>
          <c:showLegendKey val="0"/>
          <c:showVal val="0"/>
          <c:showCatName val="0"/>
          <c:showSerName val="0"/>
          <c:showPercent val="0"/>
          <c:showBubbleSize val="0"/>
        </c:dLbls>
        <c:axId val="977190016"/>
        <c:axId val="977190800"/>
      </c:scatterChart>
      <c:valAx>
        <c:axId val="977190016"/>
        <c:scaling>
          <c:orientation val="minMax"/>
        </c:scaling>
        <c:delete val="0"/>
        <c:axPos val="b"/>
        <c:title>
          <c:tx>
            <c:rich>
              <a:bodyPr/>
              <a:lstStyle/>
              <a:p>
                <a:pPr>
                  <a:defRPr sz="800" b="0"/>
                </a:pPr>
                <a:r>
                  <a:rPr lang="en-US"/>
                  <a:t>Salary 2008 / Data Set #1</a:t>
                </a:r>
              </a:p>
            </c:rich>
          </c:tx>
          <c:layout/>
          <c:overlay val="0"/>
        </c:title>
        <c:numFmt formatCode="General" sourceLinked="0"/>
        <c:majorTickMark val="out"/>
        <c:minorTickMark val="none"/>
        <c:tickLblPos val="nextTo"/>
        <c:txPr>
          <a:bodyPr/>
          <a:lstStyle/>
          <a:p>
            <a:pPr>
              <a:defRPr sz="800" b="0"/>
            </a:pPr>
            <a:endParaRPr lang="en-US"/>
          </a:p>
        </c:txPr>
        <c:crossAx val="977190800"/>
        <c:crosses val="autoZero"/>
        <c:crossBetween val="midCat"/>
      </c:valAx>
      <c:valAx>
        <c:axId val="977190800"/>
        <c:scaling>
          <c:orientation val="minMax"/>
        </c:scaling>
        <c:delete val="0"/>
        <c:axPos val="l"/>
        <c:title>
          <c:tx>
            <c:rich>
              <a:bodyPr/>
              <a:lstStyle/>
              <a:p>
                <a:pPr>
                  <a:defRPr sz="800" b="0"/>
                </a:pPr>
                <a:r>
                  <a:rPr lang="en-US"/>
                  <a:t>Wins 2008 / Data Set #1</a:t>
                </a:r>
              </a:p>
            </c:rich>
          </c:tx>
          <c:layout/>
          <c:overlay val="0"/>
        </c:title>
        <c:numFmt formatCode="General" sourceLinked="0"/>
        <c:majorTickMark val="out"/>
        <c:minorTickMark val="none"/>
        <c:tickLblPos val="nextTo"/>
        <c:txPr>
          <a:bodyPr/>
          <a:lstStyle/>
          <a:p>
            <a:pPr>
              <a:defRPr sz="800" b="0"/>
            </a:pPr>
            <a:endParaRPr lang="en-US"/>
          </a:p>
        </c:txPr>
        <c:crossAx val="97719001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2009 vs Salary 2009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Scatterplot!ScatterX_E22E2</c:f>
              <c:numCache>
                <c:formatCode>General</c:formatCode>
                <c:ptCount val="30"/>
                <c:pt idx="0">
                  <c:v>2724877</c:v>
                </c:pt>
                <c:pt idx="1">
                  <c:v>3335385</c:v>
                </c:pt>
                <c:pt idx="2">
                  <c:v>2580833</c:v>
                </c:pt>
                <c:pt idx="3">
                  <c:v>4089867</c:v>
                </c:pt>
                <c:pt idx="4">
                  <c:v>5402000</c:v>
                </c:pt>
                <c:pt idx="5">
                  <c:v>3694942</c:v>
                </c:pt>
                <c:pt idx="6">
                  <c:v>2957021</c:v>
                </c:pt>
                <c:pt idx="7">
                  <c:v>3023169</c:v>
                </c:pt>
                <c:pt idx="8">
                  <c:v>2785222</c:v>
                </c:pt>
                <c:pt idx="9">
                  <c:v>4110184</c:v>
                </c:pt>
                <c:pt idx="10">
                  <c:v>3814682</c:v>
                </c:pt>
                <c:pt idx="11">
                  <c:v>2727244</c:v>
                </c:pt>
                <c:pt idx="12">
                  <c:v>4061036</c:v>
                </c:pt>
                <c:pt idx="13">
                  <c:v>4018324</c:v>
                </c:pt>
                <c:pt idx="14">
                  <c:v>1314786</c:v>
                </c:pt>
                <c:pt idx="15">
                  <c:v>3194300</c:v>
                </c:pt>
                <c:pt idx="16">
                  <c:v>2251699</c:v>
                </c:pt>
                <c:pt idx="17">
                  <c:v>4849071</c:v>
                </c:pt>
                <c:pt idx="18">
                  <c:v>7748050</c:v>
                </c:pt>
                <c:pt idx="19">
                  <c:v>2225357</c:v>
                </c:pt>
                <c:pt idx="20">
                  <c:v>4185335</c:v>
                </c:pt>
                <c:pt idx="21">
                  <c:v>1874731</c:v>
                </c:pt>
                <c:pt idx="22">
                  <c:v>1528454</c:v>
                </c:pt>
                <c:pt idx="23">
                  <c:v>3043017</c:v>
                </c:pt>
                <c:pt idx="24">
                  <c:v>3532292</c:v>
                </c:pt>
                <c:pt idx="25">
                  <c:v>3278830</c:v>
                </c:pt>
                <c:pt idx="26">
                  <c:v>2183208</c:v>
                </c:pt>
                <c:pt idx="27">
                  <c:v>2367104</c:v>
                </c:pt>
                <c:pt idx="28">
                  <c:v>2892631</c:v>
                </c:pt>
                <c:pt idx="29">
                  <c:v>2045793</c:v>
                </c:pt>
              </c:numCache>
            </c:numRef>
          </c:xVal>
          <c:yVal>
            <c:numRef>
              <c:f>Scatterplot!ScatterY_E22E2</c:f>
              <c:numCache>
                <c:formatCode>General</c:formatCode>
                <c:ptCount val="30"/>
                <c:pt idx="0">
                  <c:v>70</c:v>
                </c:pt>
                <c:pt idx="1">
                  <c:v>86</c:v>
                </c:pt>
                <c:pt idx="2">
                  <c:v>64</c:v>
                </c:pt>
                <c:pt idx="3">
                  <c:v>95</c:v>
                </c:pt>
                <c:pt idx="4">
                  <c:v>83</c:v>
                </c:pt>
                <c:pt idx="5">
                  <c:v>79</c:v>
                </c:pt>
                <c:pt idx="6">
                  <c:v>78</c:v>
                </c:pt>
                <c:pt idx="7">
                  <c:v>65</c:v>
                </c:pt>
                <c:pt idx="8">
                  <c:v>92</c:v>
                </c:pt>
                <c:pt idx="9">
                  <c:v>86</c:v>
                </c:pt>
                <c:pt idx="10">
                  <c:v>74</c:v>
                </c:pt>
                <c:pt idx="11">
                  <c:v>65</c:v>
                </c:pt>
                <c:pt idx="12">
                  <c:v>97</c:v>
                </c:pt>
                <c:pt idx="13">
                  <c:v>95</c:v>
                </c:pt>
                <c:pt idx="14">
                  <c:v>87</c:v>
                </c:pt>
                <c:pt idx="15">
                  <c:v>80</c:v>
                </c:pt>
                <c:pt idx="16">
                  <c:v>87</c:v>
                </c:pt>
                <c:pt idx="17">
                  <c:v>70</c:v>
                </c:pt>
                <c:pt idx="18">
                  <c:v>103</c:v>
                </c:pt>
                <c:pt idx="19">
                  <c:v>75</c:v>
                </c:pt>
                <c:pt idx="20">
                  <c:v>93</c:v>
                </c:pt>
                <c:pt idx="21">
                  <c:v>62</c:v>
                </c:pt>
                <c:pt idx="22">
                  <c:v>75</c:v>
                </c:pt>
                <c:pt idx="23">
                  <c:v>88</c:v>
                </c:pt>
                <c:pt idx="24">
                  <c:v>85</c:v>
                </c:pt>
                <c:pt idx="25">
                  <c:v>91</c:v>
                </c:pt>
                <c:pt idx="26">
                  <c:v>84</c:v>
                </c:pt>
                <c:pt idx="27">
                  <c:v>87</c:v>
                </c:pt>
                <c:pt idx="28">
                  <c:v>75</c:v>
                </c:pt>
                <c:pt idx="29">
                  <c:v>59</c:v>
                </c:pt>
              </c:numCache>
            </c:numRef>
          </c:yVal>
          <c:smooth val="0"/>
        </c:ser>
        <c:dLbls>
          <c:showLegendKey val="0"/>
          <c:showVal val="0"/>
          <c:showCatName val="0"/>
          <c:showSerName val="0"/>
          <c:showPercent val="0"/>
          <c:showBubbleSize val="0"/>
        </c:dLbls>
        <c:axId val="977196288"/>
        <c:axId val="977194720"/>
      </c:scatterChart>
      <c:valAx>
        <c:axId val="977196288"/>
        <c:scaling>
          <c:orientation val="minMax"/>
        </c:scaling>
        <c:delete val="0"/>
        <c:axPos val="b"/>
        <c:title>
          <c:tx>
            <c:rich>
              <a:bodyPr/>
              <a:lstStyle/>
              <a:p>
                <a:pPr>
                  <a:defRPr sz="800" b="0"/>
                </a:pPr>
                <a:r>
                  <a:rPr lang="en-US"/>
                  <a:t>Salary 2009 / Data Set #1</a:t>
                </a:r>
              </a:p>
            </c:rich>
          </c:tx>
          <c:layout/>
          <c:overlay val="0"/>
        </c:title>
        <c:numFmt formatCode="General" sourceLinked="0"/>
        <c:majorTickMark val="out"/>
        <c:minorTickMark val="none"/>
        <c:tickLblPos val="nextTo"/>
        <c:txPr>
          <a:bodyPr/>
          <a:lstStyle/>
          <a:p>
            <a:pPr>
              <a:defRPr sz="800" b="0"/>
            </a:pPr>
            <a:endParaRPr lang="en-US"/>
          </a:p>
        </c:txPr>
        <c:crossAx val="977194720"/>
        <c:crosses val="autoZero"/>
        <c:crossBetween val="midCat"/>
      </c:valAx>
      <c:valAx>
        <c:axId val="977194720"/>
        <c:scaling>
          <c:orientation val="minMax"/>
        </c:scaling>
        <c:delete val="0"/>
        <c:axPos val="l"/>
        <c:title>
          <c:tx>
            <c:rich>
              <a:bodyPr/>
              <a:lstStyle/>
              <a:p>
                <a:pPr>
                  <a:defRPr sz="800" b="0"/>
                </a:pPr>
                <a:r>
                  <a:rPr lang="en-US"/>
                  <a:t>Wins 2009 / Data Set #1</a:t>
                </a:r>
              </a:p>
            </c:rich>
          </c:tx>
          <c:layout/>
          <c:overlay val="0"/>
        </c:title>
        <c:numFmt formatCode="General" sourceLinked="0"/>
        <c:majorTickMark val="out"/>
        <c:minorTickMark val="none"/>
        <c:tickLblPos val="nextTo"/>
        <c:txPr>
          <a:bodyPr/>
          <a:lstStyle/>
          <a:p>
            <a:pPr>
              <a:defRPr sz="800" b="0"/>
            </a:pPr>
            <a:endParaRPr lang="en-US"/>
          </a:p>
        </c:txPr>
        <c:crossAx val="977196288"/>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2010 vs Salary 2010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Scatterplot!ScatterX_3A48F</c:f>
              <c:numCache>
                <c:formatCode>General</c:formatCode>
                <c:ptCount val="30"/>
                <c:pt idx="0">
                  <c:v>2335314</c:v>
                </c:pt>
                <c:pt idx="1">
                  <c:v>3126802</c:v>
                </c:pt>
                <c:pt idx="2">
                  <c:v>3138942</c:v>
                </c:pt>
                <c:pt idx="3">
                  <c:v>5601632</c:v>
                </c:pt>
                <c:pt idx="4">
                  <c:v>5429962</c:v>
                </c:pt>
                <c:pt idx="5">
                  <c:v>4058846</c:v>
                </c:pt>
                <c:pt idx="6">
                  <c:v>2760059</c:v>
                </c:pt>
                <c:pt idx="7">
                  <c:v>2110481</c:v>
                </c:pt>
                <c:pt idx="8">
                  <c:v>2904379</c:v>
                </c:pt>
                <c:pt idx="9">
                  <c:v>4550552</c:v>
                </c:pt>
                <c:pt idx="10">
                  <c:v>3298410</c:v>
                </c:pt>
                <c:pt idx="11">
                  <c:v>2644637</c:v>
                </c:pt>
                <c:pt idx="12">
                  <c:v>3619443</c:v>
                </c:pt>
                <c:pt idx="13">
                  <c:v>3531778</c:v>
                </c:pt>
                <c:pt idx="14">
                  <c:v>2112211</c:v>
                </c:pt>
                <c:pt idx="15">
                  <c:v>2796837</c:v>
                </c:pt>
                <c:pt idx="16">
                  <c:v>3484255</c:v>
                </c:pt>
                <c:pt idx="17">
                  <c:v>4800819</c:v>
                </c:pt>
                <c:pt idx="18">
                  <c:v>8253335</c:v>
                </c:pt>
                <c:pt idx="19">
                  <c:v>1666287</c:v>
                </c:pt>
                <c:pt idx="20">
                  <c:v>5068870</c:v>
                </c:pt>
                <c:pt idx="21">
                  <c:v>1294185</c:v>
                </c:pt>
                <c:pt idx="22">
                  <c:v>1453819</c:v>
                </c:pt>
                <c:pt idx="23">
                  <c:v>3522904</c:v>
                </c:pt>
                <c:pt idx="24">
                  <c:v>3089642</c:v>
                </c:pt>
                <c:pt idx="25">
                  <c:v>3741630</c:v>
                </c:pt>
                <c:pt idx="26">
                  <c:v>2663832</c:v>
                </c:pt>
                <c:pt idx="27">
                  <c:v>1905191</c:v>
                </c:pt>
                <c:pt idx="28">
                  <c:v>2074466</c:v>
                </c:pt>
                <c:pt idx="29">
                  <c:v>2046666</c:v>
                </c:pt>
              </c:numCache>
            </c:numRef>
          </c:xVal>
          <c:yVal>
            <c:numRef>
              <c:f>Scatterplot!ScatterY_3A48F</c:f>
              <c:numCache>
                <c:formatCode>General</c:formatCode>
                <c:ptCount val="30"/>
                <c:pt idx="0">
                  <c:v>65</c:v>
                </c:pt>
                <c:pt idx="1">
                  <c:v>91</c:v>
                </c:pt>
                <c:pt idx="2">
                  <c:v>66</c:v>
                </c:pt>
                <c:pt idx="3">
                  <c:v>89</c:v>
                </c:pt>
                <c:pt idx="4">
                  <c:v>75</c:v>
                </c:pt>
                <c:pt idx="5">
                  <c:v>88</c:v>
                </c:pt>
                <c:pt idx="6">
                  <c:v>91</c:v>
                </c:pt>
                <c:pt idx="7">
                  <c:v>69</c:v>
                </c:pt>
                <c:pt idx="8">
                  <c:v>83</c:v>
                </c:pt>
                <c:pt idx="9">
                  <c:v>81</c:v>
                </c:pt>
                <c:pt idx="10">
                  <c:v>76</c:v>
                </c:pt>
                <c:pt idx="11">
                  <c:v>67</c:v>
                </c:pt>
                <c:pt idx="12">
                  <c:v>80</c:v>
                </c:pt>
                <c:pt idx="13">
                  <c:v>80</c:v>
                </c:pt>
                <c:pt idx="14">
                  <c:v>80</c:v>
                </c:pt>
                <c:pt idx="15">
                  <c:v>77</c:v>
                </c:pt>
                <c:pt idx="16">
                  <c:v>94</c:v>
                </c:pt>
                <c:pt idx="17">
                  <c:v>79</c:v>
                </c:pt>
                <c:pt idx="18">
                  <c:v>95</c:v>
                </c:pt>
                <c:pt idx="19">
                  <c:v>81</c:v>
                </c:pt>
                <c:pt idx="20">
                  <c:v>97</c:v>
                </c:pt>
                <c:pt idx="21">
                  <c:v>57</c:v>
                </c:pt>
                <c:pt idx="22">
                  <c:v>90</c:v>
                </c:pt>
                <c:pt idx="23">
                  <c:v>92</c:v>
                </c:pt>
                <c:pt idx="24">
                  <c:v>61</c:v>
                </c:pt>
                <c:pt idx="25">
                  <c:v>86</c:v>
                </c:pt>
                <c:pt idx="26">
                  <c:v>96</c:v>
                </c:pt>
                <c:pt idx="27">
                  <c:v>90</c:v>
                </c:pt>
                <c:pt idx="28">
                  <c:v>85</c:v>
                </c:pt>
                <c:pt idx="29">
                  <c:v>69</c:v>
                </c:pt>
              </c:numCache>
            </c:numRef>
          </c:yVal>
          <c:smooth val="0"/>
        </c:ser>
        <c:dLbls>
          <c:showLegendKey val="0"/>
          <c:showVal val="0"/>
          <c:showCatName val="0"/>
          <c:showSerName val="0"/>
          <c:showPercent val="0"/>
          <c:showBubbleSize val="0"/>
        </c:dLbls>
        <c:axId val="1154156840"/>
        <c:axId val="1154150568"/>
      </c:scatterChart>
      <c:valAx>
        <c:axId val="1154156840"/>
        <c:scaling>
          <c:orientation val="minMax"/>
        </c:scaling>
        <c:delete val="0"/>
        <c:axPos val="b"/>
        <c:title>
          <c:tx>
            <c:rich>
              <a:bodyPr/>
              <a:lstStyle/>
              <a:p>
                <a:pPr>
                  <a:defRPr sz="800" b="0"/>
                </a:pPr>
                <a:r>
                  <a:rPr lang="en-US"/>
                  <a:t>Salary 2010 / Data Set #1</a:t>
                </a:r>
              </a:p>
            </c:rich>
          </c:tx>
          <c:layout/>
          <c:overlay val="0"/>
        </c:title>
        <c:numFmt formatCode="General" sourceLinked="0"/>
        <c:majorTickMark val="out"/>
        <c:minorTickMark val="none"/>
        <c:tickLblPos val="nextTo"/>
        <c:txPr>
          <a:bodyPr/>
          <a:lstStyle/>
          <a:p>
            <a:pPr>
              <a:defRPr sz="800" b="0"/>
            </a:pPr>
            <a:endParaRPr lang="en-US"/>
          </a:p>
        </c:txPr>
        <c:crossAx val="1154150568"/>
        <c:crosses val="autoZero"/>
        <c:crossBetween val="midCat"/>
      </c:valAx>
      <c:valAx>
        <c:axId val="1154150568"/>
        <c:scaling>
          <c:orientation val="minMax"/>
        </c:scaling>
        <c:delete val="0"/>
        <c:axPos val="l"/>
        <c:title>
          <c:tx>
            <c:rich>
              <a:bodyPr/>
              <a:lstStyle/>
              <a:p>
                <a:pPr>
                  <a:defRPr sz="800" b="0"/>
                </a:pPr>
                <a:r>
                  <a:rPr lang="en-US"/>
                  <a:t>Wins 2010 / Data Set #1</a:t>
                </a:r>
              </a:p>
            </c:rich>
          </c:tx>
          <c:layout/>
          <c:overlay val="0"/>
        </c:title>
        <c:numFmt formatCode="General" sourceLinked="0"/>
        <c:majorTickMark val="out"/>
        <c:minorTickMark val="none"/>
        <c:tickLblPos val="nextTo"/>
        <c:txPr>
          <a:bodyPr/>
          <a:lstStyle/>
          <a:p>
            <a:pPr>
              <a:defRPr sz="800" b="0"/>
            </a:pPr>
            <a:endParaRPr lang="en-US"/>
          </a:p>
        </c:txPr>
        <c:crossAx val="115415684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Wins 2011 vs Salary 2011 of Data Set #1</a:t>
            </a:r>
          </a:p>
        </c:rich>
      </c:tx>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Scatterplot!ScatterX_CDCE7</c:f>
              <c:numCache>
                <c:formatCode>General</c:formatCode>
                <c:ptCount val="30"/>
                <c:pt idx="0">
                  <c:v>1986660</c:v>
                </c:pt>
                <c:pt idx="1">
                  <c:v>3346257</c:v>
                </c:pt>
                <c:pt idx="2">
                  <c:v>3280924</c:v>
                </c:pt>
                <c:pt idx="3">
                  <c:v>5991202</c:v>
                </c:pt>
                <c:pt idx="4">
                  <c:v>5001893</c:v>
                </c:pt>
                <c:pt idx="5">
                  <c:v>4732925</c:v>
                </c:pt>
                <c:pt idx="6">
                  <c:v>2531571</c:v>
                </c:pt>
                <c:pt idx="7">
                  <c:v>1639685</c:v>
                </c:pt>
                <c:pt idx="8">
                  <c:v>3390310</c:v>
                </c:pt>
                <c:pt idx="9">
                  <c:v>3914823</c:v>
                </c:pt>
                <c:pt idx="10">
                  <c:v>2437724</c:v>
                </c:pt>
                <c:pt idx="11">
                  <c:v>1338000</c:v>
                </c:pt>
                <c:pt idx="12">
                  <c:v>4469134</c:v>
                </c:pt>
                <c:pt idx="13">
                  <c:v>3472966</c:v>
                </c:pt>
                <c:pt idx="14">
                  <c:v>2190153</c:v>
                </c:pt>
                <c:pt idx="15">
                  <c:v>2849911</c:v>
                </c:pt>
                <c:pt idx="16">
                  <c:v>4509480</c:v>
                </c:pt>
                <c:pt idx="17">
                  <c:v>4401752</c:v>
                </c:pt>
                <c:pt idx="18">
                  <c:v>6756300</c:v>
                </c:pt>
                <c:pt idx="19">
                  <c:v>2376303</c:v>
                </c:pt>
                <c:pt idx="20">
                  <c:v>5765879</c:v>
                </c:pt>
                <c:pt idx="21">
                  <c:v>1553344</c:v>
                </c:pt>
                <c:pt idx="22">
                  <c:v>1479649</c:v>
                </c:pt>
                <c:pt idx="23">
                  <c:v>4377716</c:v>
                </c:pt>
                <c:pt idx="24">
                  <c:v>2884153</c:v>
                </c:pt>
                <c:pt idx="25">
                  <c:v>3904947</c:v>
                </c:pt>
                <c:pt idx="26">
                  <c:v>1578983</c:v>
                </c:pt>
                <c:pt idx="27">
                  <c:v>3182733</c:v>
                </c:pt>
                <c:pt idx="28">
                  <c:v>2018316</c:v>
                </c:pt>
                <c:pt idx="29">
                  <c:v>2201963</c:v>
                </c:pt>
              </c:numCache>
            </c:numRef>
          </c:xVal>
          <c:yVal>
            <c:numRef>
              <c:f>Scatterplot!ScatterY_CDCE7</c:f>
              <c:numCache>
                <c:formatCode>General</c:formatCode>
                <c:ptCount val="30"/>
                <c:pt idx="0">
                  <c:v>94</c:v>
                </c:pt>
                <c:pt idx="1">
                  <c:v>89</c:v>
                </c:pt>
                <c:pt idx="2">
                  <c:v>69</c:v>
                </c:pt>
                <c:pt idx="3">
                  <c:v>90</c:v>
                </c:pt>
                <c:pt idx="4">
                  <c:v>71</c:v>
                </c:pt>
                <c:pt idx="5">
                  <c:v>79</c:v>
                </c:pt>
                <c:pt idx="6">
                  <c:v>79</c:v>
                </c:pt>
                <c:pt idx="7">
                  <c:v>80</c:v>
                </c:pt>
                <c:pt idx="8">
                  <c:v>73</c:v>
                </c:pt>
                <c:pt idx="9">
                  <c:v>95</c:v>
                </c:pt>
                <c:pt idx="10">
                  <c:v>56</c:v>
                </c:pt>
                <c:pt idx="11">
                  <c:v>71</c:v>
                </c:pt>
                <c:pt idx="12">
                  <c:v>86</c:v>
                </c:pt>
                <c:pt idx="13">
                  <c:v>82</c:v>
                </c:pt>
                <c:pt idx="14">
                  <c:v>72</c:v>
                </c:pt>
                <c:pt idx="15">
                  <c:v>96</c:v>
                </c:pt>
                <c:pt idx="16">
                  <c:v>63</c:v>
                </c:pt>
                <c:pt idx="17">
                  <c:v>77</c:v>
                </c:pt>
                <c:pt idx="18">
                  <c:v>97</c:v>
                </c:pt>
                <c:pt idx="19">
                  <c:v>74</c:v>
                </c:pt>
                <c:pt idx="20">
                  <c:v>102</c:v>
                </c:pt>
                <c:pt idx="21">
                  <c:v>72</c:v>
                </c:pt>
                <c:pt idx="22">
                  <c:v>71</c:v>
                </c:pt>
                <c:pt idx="23">
                  <c:v>86</c:v>
                </c:pt>
                <c:pt idx="24">
                  <c:v>67</c:v>
                </c:pt>
                <c:pt idx="25">
                  <c:v>90</c:v>
                </c:pt>
                <c:pt idx="26">
                  <c:v>91</c:v>
                </c:pt>
                <c:pt idx="27">
                  <c:v>96</c:v>
                </c:pt>
                <c:pt idx="28">
                  <c:v>81</c:v>
                </c:pt>
                <c:pt idx="29">
                  <c:v>80</c:v>
                </c:pt>
              </c:numCache>
            </c:numRef>
          </c:yVal>
          <c:smooth val="0"/>
        </c:ser>
        <c:dLbls>
          <c:showLegendKey val="0"/>
          <c:showVal val="0"/>
          <c:showCatName val="0"/>
          <c:showSerName val="0"/>
          <c:showPercent val="0"/>
          <c:showBubbleSize val="0"/>
        </c:dLbls>
        <c:axId val="1154152136"/>
        <c:axId val="1154151352"/>
      </c:scatterChart>
      <c:valAx>
        <c:axId val="1154152136"/>
        <c:scaling>
          <c:orientation val="minMax"/>
        </c:scaling>
        <c:delete val="0"/>
        <c:axPos val="b"/>
        <c:title>
          <c:tx>
            <c:rich>
              <a:bodyPr/>
              <a:lstStyle/>
              <a:p>
                <a:pPr>
                  <a:defRPr sz="800" b="0"/>
                </a:pPr>
                <a:r>
                  <a:rPr lang="en-US"/>
                  <a:t>Salary 2011 / Data Set #1</a:t>
                </a:r>
              </a:p>
            </c:rich>
          </c:tx>
          <c:overlay val="0"/>
        </c:title>
        <c:numFmt formatCode="General" sourceLinked="0"/>
        <c:majorTickMark val="out"/>
        <c:minorTickMark val="none"/>
        <c:tickLblPos val="nextTo"/>
        <c:txPr>
          <a:bodyPr/>
          <a:lstStyle/>
          <a:p>
            <a:pPr>
              <a:defRPr sz="800" b="0"/>
            </a:pPr>
            <a:endParaRPr lang="en-US"/>
          </a:p>
        </c:txPr>
        <c:crossAx val="1154151352"/>
        <c:crosses val="autoZero"/>
        <c:crossBetween val="midCat"/>
      </c:valAx>
      <c:valAx>
        <c:axId val="1154151352"/>
        <c:scaling>
          <c:orientation val="minMax"/>
        </c:scaling>
        <c:delete val="0"/>
        <c:axPos val="l"/>
        <c:title>
          <c:tx>
            <c:rich>
              <a:bodyPr/>
              <a:lstStyle/>
              <a:p>
                <a:pPr>
                  <a:defRPr sz="800" b="0"/>
                </a:pPr>
                <a:r>
                  <a:rPr lang="en-US"/>
                  <a:t>Wins 2011 / Data Set #1</a:t>
                </a:r>
              </a:p>
            </c:rich>
          </c:tx>
          <c:overlay val="0"/>
        </c:title>
        <c:numFmt formatCode="General" sourceLinked="0"/>
        <c:majorTickMark val="out"/>
        <c:minorTickMark val="none"/>
        <c:tickLblPos val="nextTo"/>
        <c:txPr>
          <a:bodyPr/>
          <a:lstStyle/>
          <a:p>
            <a:pPr>
              <a:defRPr sz="800" b="0"/>
            </a:pPr>
            <a:endParaRPr lang="en-US"/>
          </a:p>
        </c:txPr>
        <c:crossAx val="115415213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drawings/_rels/drawing5.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342900</xdr:colOff>
      <xdr:row>1</xdr:row>
      <xdr:rowOff>38100</xdr:rowOff>
    </xdr:from>
    <xdr:to>
      <xdr:col>5</xdr:col>
      <xdr:colOff>342900</xdr:colOff>
      <xdr:row>3</xdr:row>
      <xdr:rowOff>38100</xdr:rowOff>
    </xdr:to>
    <xdr:sp macro="" textlink="">
      <xdr:nvSpPr>
        <xdr:cNvPr id="2" name="TextBox 1"/>
        <xdr:cNvSpPr txBox="1"/>
      </xdr:nvSpPr>
      <xdr:spPr>
        <a:xfrm>
          <a:off x="342900" y="228600"/>
          <a:ext cx="3048000" cy="381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ESPN, LoHud - New</a:t>
          </a:r>
          <a:r>
            <a:rPr lang="en-US" sz="1100" baseline="0">
              <a:solidFill>
                <a:schemeClr val="dk1"/>
              </a:solidFill>
              <a:latin typeface="+mn-lt"/>
              <a:ea typeface="+mn-ea"/>
              <a:cs typeface="+mn-cs"/>
            </a:rPr>
            <a:t> York's Hudson Valley</a:t>
          </a:r>
          <a:endParaRPr lang="en-US" sz="1100">
            <a:solidFill>
              <a:schemeClr val="dk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533400</xdr:colOff>
      <xdr:row>32</xdr:row>
      <xdr:rowOff>142875</xdr:rowOff>
    </xdr:from>
    <xdr:to>
      <xdr:col>4</xdr:col>
      <xdr:colOff>828675</xdr:colOff>
      <xdr:row>35</xdr:row>
      <xdr:rowOff>114300</xdr:rowOff>
    </xdr:to>
    <xdr:sp macro="" textlink="">
      <xdr:nvSpPr>
        <xdr:cNvPr id="2" name="TextBox 1"/>
        <xdr:cNvSpPr txBox="1"/>
      </xdr:nvSpPr>
      <xdr:spPr>
        <a:xfrm>
          <a:off x="2809875" y="6238875"/>
          <a:ext cx="1990725" cy="5429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latin typeface="+mn-lt"/>
              <a:ea typeface="+mn-ea"/>
              <a:cs typeface="+mn-cs"/>
            </a:rPr>
            <a:t>Each dollar value is the average salary per team member.</a:t>
          </a:r>
          <a:endParaRPr lang="en-US"/>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18</xdr:row>
      <xdr:rowOff>0</xdr:rowOff>
    </xdr:from>
    <xdr:to>
      <xdr:col>5</xdr:col>
      <xdr:colOff>485775</xdr:colOff>
      <xdr:row>27</xdr:row>
      <xdr:rowOff>133350</xdr:rowOff>
    </xdr:to>
    <xdr:sp macro="" textlink="">
      <xdr:nvSpPr>
        <xdr:cNvPr id="2" name="TextBox 1"/>
        <xdr:cNvSpPr txBox="1"/>
      </xdr:nvSpPr>
      <xdr:spPr>
        <a:xfrm>
          <a:off x="1714500" y="3305175"/>
          <a:ext cx="3028950" cy="18478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correlations are</a:t>
          </a:r>
          <a:r>
            <a:rPr lang="en-US" sz="1100" baseline="0"/>
            <a:t> largest (but still not that large) in consecutive years. But note that the correlation between 2004 and 2009 is fairly large. Winning teams tend to keep winning, and losing teams tend to keep losing, but the pattern is far from perfect. Some teams reverse the trend fairly quickly, either by getting better players or by losing good ones.</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18</xdr:row>
      <xdr:rowOff>0</xdr:rowOff>
    </xdr:from>
    <xdr:to>
      <xdr:col>5</xdr:col>
      <xdr:colOff>514350</xdr:colOff>
      <xdr:row>23</xdr:row>
      <xdr:rowOff>57150</xdr:rowOff>
    </xdr:to>
    <xdr:sp macro="" textlink="">
      <xdr:nvSpPr>
        <xdr:cNvPr id="2" name="TextBox 1"/>
        <xdr:cNvSpPr txBox="1"/>
      </xdr:nvSpPr>
      <xdr:spPr>
        <a:xfrm>
          <a:off x="1714500" y="3305175"/>
          <a:ext cx="3057525" cy="10096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All of these correlations are large, especially in consecutive years. Some teams always</a:t>
          </a:r>
          <a:r>
            <a:rPr lang="en-US" sz="1100" baseline="0"/>
            <a:t> pay high, and some always pay low, a pattern that extends over multiple years.</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4</xdr:col>
      <xdr:colOff>285750</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12700</xdr:colOff>
      <xdr:row>6</xdr:row>
      <xdr:rowOff>0</xdr:rowOff>
    </xdr:from>
    <xdr:to>
      <xdr:col>11</xdr:col>
      <xdr:colOff>600075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12700</xdr:colOff>
      <xdr:row>6</xdr:row>
      <xdr:rowOff>0</xdr:rowOff>
    </xdr:from>
    <xdr:to>
      <xdr:col>17</xdr:col>
      <xdr:colOff>600075</xdr:colOff>
      <xdr:row>22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18</xdr:col>
      <xdr:colOff>12700</xdr:colOff>
      <xdr:row>6</xdr:row>
      <xdr:rowOff>0</xdr:rowOff>
    </xdr:from>
    <xdr:to>
      <xdr:col>23</xdr:col>
      <xdr:colOff>600075</xdr:colOff>
      <xdr:row>22</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25</xdr:row>
      <xdr:rowOff>0</xdr:rowOff>
    </xdr:from>
    <xdr:to>
      <xdr:col>4</xdr:col>
      <xdr:colOff>285750</xdr:colOff>
      <xdr:row>41</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6</xdr:col>
      <xdr:colOff>12700</xdr:colOff>
      <xdr:row>25</xdr:row>
      <xdr:rowOff>0</xdr:rowOff>
    </xdr:from>
    <xdr:to>
      <xdr:col>11</xdr:col>
      <xdr:colOff>600075</xdr:colOff>
      <xdr:row>41</xdr:row>
      <xdr:rowOff>127000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12</xdr:col>
      <xdr:colOff>12700</xdr:colOff>
      <xdr:row>25</xdr:row>
      <xdr:rowOff>0</xdr:rowOff>
    </xdr:from>
    <xdr:to>
      <xdr:col>17</xdr:col>
      <xdr:colOff>600075</xdr:colOff>
      <xdr:row>41</xdr:row>
      <xdr:rowOff>127000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18</xdr:col>
      <xdr:colOff>12700</xdr:colOff>
      <xdr:row>25</xdr:row>
      <xdr:rowOff>0</xdr:rowOff>
    </xdr:from>
    <xdr:to>
      <xdr:col>23</xdr:col>
      <xdr:colOff>600075</xdr:colOff>
      <xdr:row>41</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609600</xdr:colOff>
      <xdr:row>12</xdr:row>
      <xdr:rowOff>161925</xdr:rowOff>
    </xdr:from>
    <xdr:to>
      <xdr:col>5</xdr:col>
      <xdr:colOff>485775</xdr:colOff>
      <xdr:row>18</xdr:row>
      <xdr:rowOff>76200</xdr:rowOff>
    </xdr:to>
    <xdr:sp macro="" textlink="">
      <xdr:nvSpPr>
        <xdr:cNvPr id="10" name="TextBox 9"/>
        <xdr:cNvSpPr txBox="1"/>
      </xdr:nvSpPr>
      <xdr:spPr>
        <a:xfrm>
          <a:off x="3467100" y="2305050"/>
          <a:ext cx="2419350" cy="10572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All of these scatters</a:t>
          </a:r>
          <a:r>
            <a:rPr lang="en-US" sz="1100" baseline="0"/>
            <a:t> go more or less up and to the right: more pay tends to mean more wins. But the pattern is far from perfect. And the Yankees are an outlier in each plot.</a:t>
          </a:r>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4</xdr:row>
      <xdr:rowOff>0</xdr:rowOff>
    </xdr:from>
    <xdr:to>
      <xdr:col>10</xdr:col>
      <xdr:colOff>76200</xdr:colOff>
      <xdr:row>15</xdr:row>
      <xdr:rowOff>19050</xdr:rowOff>
    </xdr:to>
    <xdr:sp macro="" textlink="">
      <xdr:nvSpPr>
        <xdr:cNvPr id="2" name="TextBox 1"/>
        <xdr:cNvSpPr txBox="1"/>
      </xdr:nvSpPr>
      <xdr:spPr>
        <a:xfrm>
          <a:off x="4667250" y="762000"/>
          <a:ext cx="3124200" cy="21145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After creating</a:t>
          </a:r>
          <a:r>
            <a:rPr lang="en-US" sz="1100" baseline="0"/>
            <a:t> the pivot tables of average salaries, one for each year, I calculated the percentage by which the playoff teams exceed the non-playoff teams. They vary quite a lot from year to year, but they are all fairly large. Playoff teams definitely pay more. But there is no way to tell cause and effect. Do teams get to the playoffs because they pay more, or do the successful teams reward their players for getting to the playoffs in previous years?</a:t>
          </a:r>
          <a:endParaRPr lang="en-US" sz="11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hris" refreshedDate="40947.622871180552" createdVersion="4" refreshedVersion="4" minRefreshableVersion="3" recordCount="30">
  <cacheSource type="worksheet">
    <worksheetSource ref="A1:Y31" sheet="Data"/>
  </cacheSource>
  <cacheFields count="25">
    <cacheField name="Team" numFmtId="0">
      <sharedItems/>
    </cacheField>
    <cacheField name="Salary 2004" numFmtId="164">
      <sharedItems containsSemiMixedTypes="0" containsString="0" containsNumber="1" containsInteger="1" minValue="917126" maxValue="6382187"/>
    </cacheField>
    <cacheField name="Salary 2005" numFmtId="164">
      <sharedItems containsSemiMixedTypes="0" containsString="0" containsNumber="1" containsInteger="1" minValue="963674" maxValue="7386451"/>
    </cacheField>
    <cacheField name="Salary 2006" numFmtId="164">
      <sharedItems containsSemiMixedTypes="0" containsString="0" containsNumber="1" containsInteger="1" minValue="594722" maxValue="6947232"/>
    </cacheField>
    <cacheField name="Salary 2007" numFmtId="164">
      <sharedItems containsSemiMixedTypes="0" containsString="0" containsNumber="1" containsInteger="1" minValue="906041" maxValue="7465730"/>
    </cacheField>
    <cacheField name="Salary 2008" numFmtId="164">
      <sharedItems containsSemiMixedTypes="0" containsString="0" containsNumber="1" containsInteger="1" minValue="660955" maxValue="6744567"/>
    </cacheField>
    <cacheField name="Salary 2009" numFmtId="164">
      <sharedItems containsSemiMixedTypes="0" containsString="0" containsNumber="1" containsInteger="1" minValue="1314786" maxValue="7748050"/>
    </cacheField>
    <cacheField name="Salary 2010" numFmtId="164">
      <sharedItems containsSemiMixedTypes="0" containsString="0" containsNumber="1" containsInteger="1" minValue="1294185" maxValue="8253335"/>
    </cacheField>
    <cacheField name="Salary 2011" numFmtId="164">
      <sharedItems containsSemiMixedTypes="0" containsString="0" containsNumber="1" containsInteger="1" minValue="1338000" maxValue="6756300"/>
    </cacheField>
    <cacheField name="Wins 2004" numFmtId="1">
      <sharedItems containsSemiMixedTypes="0" containsString="0" containsNumber="1" containsInteger="1" minValue="51" maxValue="105"/>
    </cacheField>
    <cacheField name="Wins 2005" numFmtId="1">
      <sharedItems containsSemiMixedTypes="0" containsString="0" containsNumber="1" containsInteger="1" minValue="56" maxValue="100"/>
    </cacheField>
    <cacheField name="Wins 2006" numFmtId="1">
      <sharedItems containsSemiMixedTypes="0" containsString="0" containsNumber="1" containsInteger="1" minValue="61" maxValue="97"/>
    </cacheField>
    <cacheField name="Wins 2007" numFmtId="1">
      <sharedItems containsSemiMixedTypes="0" containsString="0" containsNumber="1" containsInteger="1" minValue="66" maxValue="97"/>
    </cacheField>
    <cacheField name="Wins 2008" numFmtId="1">
      <sharedItems containsSemiMixedTypes="0" containsString="0" containsNumber="1" containsInteger="1" minValue="59" maxValue="100"/>
    </cacheField>
    <cacheField name="Wins 2009" numFmtId="1">
      <sharedItems containsSemiMixedTypes="0" containsString="0" containsNumber="1" containsInteger="1" minValue="59" maxValue="103"/>
    </cacheField>
    <cacheField name="Wins 2010" numFmtId="1">
      <sharedItems containsSemiMixedTypes="0" containsString="0" containsNumber="1" containsInteger="1" minValue="57" maxValue="97"/>
    </cacheField>
    <cacheField name="Wins 2011" numFmtId="0">
      <sharedItems containsSemiMixedTypes="0" containsString="0" containsNumber="1" containsInteger="1" minValue="56" maxValue="102"/>
    </cacheField>
    <cacheField name="Playoffs 2004" numFmtId="1">
      <sharedItems count="2">
        <s v="No"/>
        <s v="Yes"/>
      </sharedItems>
    </cacheField>
    <cacheField name="Playoffs 2005" numFmtId="1">
      <sharedItems/>
    </cacheField>
    <cacheField name="Playoffs 2006" numFmtId="1">
      <sharedItems/>
    </cacheField>
    <cacheField name="Playoffs 2007" numFmtId="1">
      <sharedItems/>
    </cacheField>
    <cacheField name="Playoffs 2008" numFmtId="1">
      <sharedItems/>
    </cacheField>
    <cacheField name="Playoffs 2009" numFmtId="1">
      <sharedItems/>
    </cacheField>
    <cacheField name="Playoffs 2010" numFmtId="1">
      <sharedItems/>
    </cacheField>
    <cacheField name="Playoffs 2011"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0">
  <r>
    <s v="Arizona Diamondbacks"/>
    <n v="1594832"/>
    <n v="2291093"/>
    <n v="1788827"/>
    <n v="1899437"/>
    <n v="2364383"/>
    <n v="2724877"/>
    <n v="2335314"/>
    <n v="1986660"/>
    <n v="51"/>
    <n v="77"/>
    <n v="76"/>
    <n v="90"/>
    <n v="82"/>
    <n v="70"/>
    <n v="65"/>
    <n v="94"/>
    <x v="0"/>
    <s v="No"/>
    <s v="No"/>
    <s v="Yes"/>
    <s v="No"/>
    <s v="No"/>
    <s v="No"/>
    <s v="Yes"/>
  </r>
  <r>
    <s v="Atlanta Braves"/>
    <n v="3266573"/>
    <n v="3045938"/>
    <n v="2714789"/>
    <n v="3121155"/>
    <n v="3412189"/>
    <n v="3335385"/>
    <n v="3126802"/>
    <n v="3346257"/>
    <n v="96"/>
    <n v="90"/>
    <n v="79"/>
    <n v="84"/>
    <n v="72"/>
    <n v="86"/>
    <n v="91"/>
    <n v="89"/>
    <x v="1"/>
    <s v="Yes"/>
    <s v="No"/>
    <s v="No"/>
    <s v="No"/>
    <s v="No"/>
    <s v="Yes"/>
    <s v="No"/>
  </r>
  <r>
    <s v="Baltimore Orioles"/>
    <n v="1721832"/>
    <n v="2700738"/>
    <n v="2580843"/>
    <n v="3049758"/>
    <n v="2099883"/>
    <n v="2580833"/>
    <n v="3138942"/>
    <n v="3280924"/>
    <n v="78"/>
    <n v="74"/>
    <n v="70"/>
    <n v="69"/>
    <n v="68"/>
    <n v="64"/>
    <n v="66"/>
    <n v="69"/>
    <x v="0"/>
    <s v="No"/>
    <s v="No"/>
    <s v="No"/>
    <s v="No"/>
    <s v="No"/>
    <s v="No"/>
    <s v="No"/>
  </r>
  <r>
    <s v="Boston Red Sox"/>
    <n v="3714530"/>
    <n v="4168466"/>
    <n v="3986768"/>
    <n v="5456506"/>
    <n v="4763930"/>
    <n v="4089867"/>
    <n v="5601632"/>
    <n v="5991202"/>
    <n v="98"/>
    <n v="95"/>
    <n v="86"/>
    <n v="96"/>
    <n v="95"/>
    <n v="95"/>
    <n v="89"/>
    <n v="90"/>
    <x v="1"/>
    <s v="Yes"/>
    <s v="No"/>
    <s v="Yes"/>
    <s v="Yes"/>
    <s v="Yes"/>
    <s v="No"/>
    <s v="No"/>
  </r>
  <r>
    <s v="Chicago Cubs"/>
    <n v="3504285"/>
    <n v="2903423"/>
    <n v="2694272"/>
    <n v="3903005"/>
    <n v="4383179"/>
    <n v="5402000"/>
    <n v="5429962"/>
    <n v="5001893"/>
    <n v="89"/>
    <n v="79"/>
    <n v="66"/>
    <n v="85"/>
    <n v="97"/>
    <n v="83"/>
    <n v="75"/>
    <n v="71"/>
    <x v="0"/>
    <s v="No"/>
    <s v="No"/>
    <s v="Yes"/>
    <s v="Yes"/>
    <s v="No"/>
    <s v="No"/>
    <s v="No"/>
  </r>
  <r>
    <s v="Chicago White Sox"/>
    <n v="2567749"/>
    <n v="2881675"/>
    <n v="3807074"/>
    <n v="3718332"/>
    <n v="4488494"/>
    <n v="3694942"/>
    <n v="4058846"/>
    <n v="4732925"/>
    <n v="83"/>
    <n v="99"/>
    <n v="90"/>
    <n v="72"/>
    <n v="89"/>
    <n v="79"/>
    <n v="88"/>
    <n v="79"/>
    <x v="0"/>
    <s v="Yes"/>
    <s v="No"/>
    <s v="No"/>
    <s v="Yes"/>
    <s v="No"/>
    <s v="No"/>
    <s v="No"/>
  </r>
  <r>
    <s v="Cincinnati Reds"/>
    <n v="1367389"/>
    <n v="1562528"/>
    <n v="2304438"/>
    <n v="2042331"/>
    <n v="2647061"/>
    <n v="2957021"/>
    <n v="2760059"/>
    <n v="2531571"/>
    <n v="76"/>
    <n v="73"/>
    <n v="80"/>
    <n v="72"/>
    <n v="74"/>
    <n v="78"/>
    <n v="91"/>
    <n v="79"/>
    <x v="0"/>
    <s v="No"/>
    <s v="No"/>
    <s v="No"/>
    <s v="No"/>
    <s v="No"/>
    <s v="Yes"/>
    <s v="No"/>
  </r>
  <r>
    <s v="Cleveland Indians"/>
    <n v="1220378"/>
    <n v="1527704"/>
    <n v="1481261"/>
    <n v="2535472"/>
    <n v="3037310"/>
    <n v="3023169"/>
    <n v="2110481"/>
    <n v="1639685"/>
    <n v="80"/>
    <n v="93"/>
    <n v="78"/>
    <n v="97"/>
    <n v="81"/>
    <n v="65"/>
    <n v="69"/>
    <n v="80"/>
    <x v="0"/>
    <s v="No"/>
    <s v="No"/>
    <s v="Yes"/>
    <s v="No"/>
    <s v="No"/>
    <s v="No"/>
    <s v="No"/>
  </r>
  <r>
    <s v="Colorado Rockies"/>
    <n v="1736715"/>
    <n v="1078734"/>
    <n v="1833905"/>
    <n v="1831818"/>
    <n v="2640596"/>
    <n v="2785222"/>
    <n v="2904379"/>
    <n v="3390310"/>
    <n v="68"/>
    <n v="67"/>
    <n v="76"/>
    <n v="90"/>
    <n v="74"/>
    <n v="92"/>
    <n v="83"/>
    <n v="73"/>
    <x v="0"/>
    <s v="No"/>
    <s v="No"/>
    <s v="Yes"/>
    <s v="No"/>
    <s v="Yes"/>
    <s v="No"/>
    <s v="No"/>
  </r>
  <r>
    <s v="Detroit Tigers"/>
    <n v="1579289"/>
    <n v="2343467"/>
    <n v="3061749"/>
    <n v="2777021"/>
    <n v="4589507"/>
    <n v="4110184"/>
    <n v="4550552"/>
    <n v="3914823"/>
    <n v="72"/>
    <n v="71"/>
    <n v="95"/>
    <n v="88"/>
    <n v="74"/>
    <n v="86"/>
    <n v="81"/>
    <n v="95"/>
    <x v="0"/>
    <s v="No"/>
    <s v="Yes"/>
    <s v="No"/>
    <s v="No"/>
    <s v="No"/>
    <s v="No"/>
    <s v="Yes"/>
  </r>
  <r>
    <s v="Houston Astros"/>
    <n v="2528764"/>
    <n v="2905946"/>
    <n v="4283240"/>
    <n v="2901852"/>
    <n v="3293719"/>
    <n v="3814682"/>
    <n v="3298410"/>
    <n v="2437724"/>
    <n v="92"/>
    <n v="89"/>
    <n v="82"/>
    <n v="73"/>
    <n v="86"/>
    <n v="74"/>
    <n v="76"/>
    <n v="56"/>
    <x v="0"/>
    <s v="No"/>
    <s v="No"/>
    <s v="No"/>
    <s v="No"/>
    <s v="No"/>
    <s v="No"/>
    <s v="No"/>
  </r>
  <r>
    <s v="Kansas City Royals"/>
    <n v="1111106"/>
    <n v="1148717"/>
    <n v="1624478"/>
    <n v="1753368"/>
    <n v="2240212"/>
    <n v="2727244"/>
    <n v="2644637"/>
    <n v="1338000"/>
    <n v="58"/>
    <n v="56"/>
    <n v="62"/>
    <n v="69"/>
    <n v="75"/>
    <n v="65"/>
    <n v="67"/>
    <n v="71"/>
    <x v="1"/>
    <s v="Yes"/>
    <s v="No"/>
    <s v="No"/>
    <s v="No"/>
    <s v="No"/>
    <s v="No"/>
    <s v="No"/>
  </r>
  <r>
    <s v="Los Angeles Angels"/>
    <n v="3644588"/>
    <n v="3119308"/>
    <n v="3033520"/>
    <n v="3341379"/>
    <n v="4110908"/>
    <n v="4061036"/>
    <n v="3619443"/>
    <n v="4469134"/>
    <n v="92"/>
    <n v="95"/>
    <n v="89"/>
    <n v="94"/>
    <n v="100"/>
    <n v="97"/>
    <n v="80"/>
    <n v="86"/>
    <x v="0"/>
    <s v="No"/>
    <s v="No"/>
    <s v="No"/>
    <s v="No"/>
    <s v="No"/>
    <s v="No"/>
    <s v="Yes"/>
  </r>
  <r>
    <s v="Los Angeles Dodgers"/>
    <n v="3293894"/>
    <n v="2615430"/>
    <n v="3467653"/>
    <n v="3988311"/>
    <n v="4089260"/>
    <n v="4018324"/>
    <n v="3531778"/>
    <n v="3472966"/>
    <n v="93"/>
    <n v="71"/>
    <n v="88"/>
    <n v="82"/>
    <n v="84"/>
    <n v="95"/>
    <n v="80"/>
    <n v="82"/>
    <x v="1"/>
    <s v="Yes"/>
    <s v="No"/>
    <s v="Yes"/>
    <s v="Yes"/>
    <s v="Yes"/>
    <s v="No"/>
    <s v="Yes"/>
  </r>
  <r>
    <s v="Miami Marlins"/>
    <n v="2114487"/>
    <n v="1870086"/>
    <n v="594722"/>
    <n v="1294724"/>
    <n v="660955"/>
    <n v="1314786"/>
    <n v="2112211"/>
    <n v="2190153"/>
    <n v="83"/>
    <n v="83"/>
    <n v="78"/>
    <n v="71"/>
    <n v="84"/>
    <n v="87"/>
    <n v="80"/>
    <n v="72"/>
    <x v="1"/>
    <s v="No"/>
    <s v="Yes"/>
    <s v="No"/>
    <s v="Yes"/>
    <s v="Yes"/>
    <s v="No"/>
    <s v="No"/>
  </r>
  <r>
    <s v="Milwaukee Brewers"/>
    <n v="1044291"/>
    <n v="1743476"/>
    <n v="2160012"/>
    <n v="2602110"/>
    <n v="2790948"/>
    <n v="3194300"/>
    <n v="2796837"/>
    <n v="2849911"/>
    <n v="67"/>
    <n v="81"/>
    <n v="75"/>
    <n v="83"/>
    <n v="90"/>
    <n v="80"/>
    <n v="77"/>
    <n v="96"/>
    <x v="0"/>
    <s v="No"/>
    <s v="No"/>
    <s v="No"/>
    <s v="Yes"/>
    <s v="No"/>
    <s v="No"/>
    <s v="Yes"/>
  </r>
  <r>
    <s v="Minnesota Twins"/>
    <n v="1893142"/>
    <n v="1907247"/>
    <n v="2576988"/>
    <n v="1966060"/>
    <n v="2277311"/>
    <n v="2251699"/>
    <n v="3484255"/>
    <n v="4509480"/>
    <n v="91"/>
    <n v="83"/>
    <n v="96"/>
    <n v="79"/>
    <n v="88"/>
    <n v="87"/>
    <n v="94"/>
    <n v="63"/>
    <x v="1"/>
    <s v="No"/>
    <s v="Yes"/>
    <s v="No"/>
    <s v="No"/>
    <s v="Yes"/>
    <s v="Yes"/>
    <s v="No"/>
  </r>
  <r>
    <s v="New York Mets"/>
    <n v="3343244"/>
    <n v="3339685"/>
    <n v="3859172"/>
    <n v="4152777"/>
    <n v="4593113"/>
    <n v="4849071"/>
    <n v="4800819"/>
    <n v="4401752"/>
    <n v="71"/>
    <n v="83"/>
    <n v="97"/>
    <n v="88"/>
    <n v="89"/>
    <n v="70"/>
    <n v="79"/>
    <n v="77"/>
    <x v="0"/>
    <s v="No"/>
    <s v="Yes"/>
    <s v="No"/>
    <s v="No"/>
    <s v="No"/>
    <s v="No"/>
    <s v="No"/>
  </r>
  <r>
    <s v="New York Yankees"/>
    <n v="6382187"/>
    <n v="7386451"/>
    <n v="6947232"/>
    <n v="7465730"/>
    <n v="6744567"/>
    <n v="7748050"/>
    <n v="8253335"/>
    <n v="6756300"/>
    <n v="101"/>
    <n v="95"/>
    <n v="97"/>
    <n v="94"/>
    <n v="89"/>
    <n v="103"/>
    <n v="95"/>
    <n v="97"/>
    <x v="1"/>
    <s v="Yes"/>
    <s v="Yes"/>
    <s v="Yes"/>
    <s v="No"/>
    <s v="Yes"/>
    <s v="Yes"/>
    <s v="Yes"/>
  </r>
  <r>
    <s v="Oakland Athletics"/>
    <n v="2420382"/>
    <n v="2201000"/>
    <n v="2487968"/>
    <n v="1659783"/>
    <n v="1713112"/>
    <n v="2225357"/>
    <n v="1666287"/>
    <n v="2376303"/>
    <n v="91"/>
    <n v="88"/>
    <n v="93"/>
    <n v="76"/>
    <n v="75"/>
    <n v="75"/>
    <n v="81"/>
    <n v="74"/>
    <x v="0"/>
    <s v="No"/>
    <s v="Yes"/>
    <s v="No"/>
    <s v="No"/>
    <s v="No"/>
    <s v="No"/>
    <s v="No"/>
  </r>
  <r>
    <s v="Philadelphia Phillies"/>
    <n v="3250919"/>
    <n v="3431991"/>
    <n v="2622260"/>
    <n v="2971835"/>
    <n v="3388617"/>
    <n v="4185335"/>
    <n v="5068870"/>
    <n v="5765879"/>
    <n v="86"/>
    <n v="88"/>
    <n v="85"/>
    <n v="89"/>
    <n v="92"/>
    <n v="93"/>
    <n v="97"/>
    <n v="102"/>
    <x v="0"/>
    <s v="No"/>
    <s v="No"/>
    <s v="Yes"/>
    <s v="Yes"/>
    <s v="Yes"/>
    <s v="Yes"/>
    <s v="Yes"/>
  </r>
  <r>
    <s v="Pittsburgh Pirates"/>
    <n v="917126"/>
    <n v="963674"/>
    <n v="1078440"/>
    <n v="1871402"/>
    <n v="1872684"/>
    <n v="1874731"/>
    <n v="1294185"/>
    <n v="1553344"/>
    <n v="72"/>
    <n v="67"/>
    <n v="67"/>
    <n v="68"/>
    <n v="67"/>
    <n v="62"/>
    <n v="57"/>
    <n v="72"/>
    <x v="0"/>
    <s v="No"/>
    <s v="No"/>
    <s v="No"/>
    <s v="No"/>
    <s v="No"/>
    <s v="No"/>
    <s v="No"/>
  </r>
  <r>
    <s v="San Diego Padres"/>
    <n v="2016885"/>
    <n v="2677825"/>
    <n v="2539837"/>
    <n v="2388654"/>
    <n v="2376697"/>
    <n v="1528454"/>
    <n v="1453819"/>
    <n v="1479649"/>
    <n v="87"/>
    <n v="82"/>
    <n v="88"/>
    <n v="89"/>
    <n v="63"/>
    <n v="75"/>
    <n v="90"/>
    <n v="71"/>
    <x v="0"/>
    <s v="Yes"/>
    <s v="Yes"/>
    <s v="No"/>
    <s v="No"/>
    <s v="No"/>
    <s v="No"/>
    <s v="Yes"/>
  </r>
  <r>
    <s v="San Francisco Giants"/>
    <n v="2871616"/>
    <n v="2994078"/>
    <n v="3479123"/>
    <n v="3095131"/>
    <n v="2641190"/>
    <n v="3043017"/>
    <n v="3522904"/>
    <n v="4377716"/>
    <n v="91"/>
    <n v="75"/>
    <n v="76"/>
    <n v="71"/>
    <n v="72"/>
    <n v="88"/>
    <n v="92"/>
    <n v="86"/>
    <x v="0"/>
    <s v="No"/>
    <s v="No"/>
    <s v="No"/>
    <s v="No"/>
    <s v="No"/>
    <s v="Yes"/>
    <s v="No"/>
  </r>
  <r>
    <s v="Seattle Marriners"/>
    <n v="1923790"/>
    <n v="2113280"/>
    <n v="2801609"/>
    <n v="3704492"/>
    <n v="4525634"/>
    <n v="3532292"/>
    <n v="3089642"/>
    <n v="2884153"/>
    <n v="63"/>
    <n v="69"/>
    <n v="78"/>
    <n v="88"/>
    <n v="61"/>
    <n v="85"/>
    <n v="61"/>
    <n v="67"/>
    <x v="0"/>
    <s v="No"/>
    <s v="No"/>
    <s v="No"/>
    <s v="No"/>
    <s v="No"/>
    <s v="No"/>
    <s v="No"/>
  </r>
  <r>
    <s v="St. Louis Cardinals"/>
    <n v="3194667"/>
    <n v="3401334"/>
    <n v="3775022"/>
    <n v="3150604"/>
    <n v="3018923"/>
    <n v="3278830"/>
    <n v="3741630"/>
    <n v="3904947"/>
    <n v="105"/>
    <n v="100"/>
    <n v="83"/>
    <n v="78"/>
    <n v="86"/>
    <n v="91"/>
    <n v="86"/>
    <n v="90"/>
    <x v="1"/>
    <s v="Yes"/>
    <s v="Yes"/>
    <s v="No"/>
    <s v="No"/>
    <s v="Yes"/>
    <s v="No"/>
    <s v="Yes"/>
  </r>
  <r>
    <s v="Tampa Bay Rays"/>
    <n v="1097548"/>
    <n v="1107040"/>
    <n v="747536"/>
    <n v="906041"/>
    <n v="1458187"/>
    <n v="2183208"/>
    <n v="2663832"/>
    <n v="1578983"/>
    <n v="70"/>
    <n v="67"/>
    <n v="61"/>
    <n v="66"/>
    <n v="97"/>
    <n v="84"/>
    <n v="96"/>
    <n v="91"/>
    <x v="0"/>
    <s v="No"/>
    <s v="No"/>
    <s v="No"/>
    <s v="Yes"/>
    <s v="No"/>
    <s v="Yes"/>
    <s v="Yes"/>
  </r>
  <r>
    <s v="Texas Rangers"/>
    <n v="1625010"/>
    <n v="1759055"/>
    <n v="2377325"/>
    <n v="1645626"/>
    <n v="2334908"/>
    <n v="2367104"/>
    <n v="1905191"/>
    <n v="3182733"/>
    <n v="89"/>
    <n v="79"/>
    <n v="80"/>
    <n v="75"/>
    <n v="79"/>
    <n v="87"/>
    <n v="90"/>
    <n v="96"/>
    <x v="0"/>
    <s v="No"/>
    <s v="No"/>
    <s v="No"/>
    <s v="No"/>
    <s v="No"/>
    <s v="Yes"/>
    <s v="Yes"/>
  </r>
  <r>
    <s v="Toronto Blue Jays"/>
    <n v="1635285"/>
    <n v="1721673"/>
    <n v="2190340"/>
    <n v="2751604"/>
    <n v="3621996"/>
    <n v="2892631"/>
    <n v="2074466"/>
    <n v="2018316"/>
    <n v="67"/>
    <n v="80"/>
    <n v="87"/>
    <n v="83"/>
    <n v="86"/>
    <n v="75"/>
    <n v="85"/>
    <n v="81"/>
    <x v="0"/>
    <s v="No"/>
    <s v="No"/>
    <s v="No"/>
    <s v="No"/>
    <s v="No"/>
    <s v="No"/>
    <s v="No"/>
  </r>
  <r>
    <s v="Washington Nationals"/>
    <n v="1226455"/>
    <n v="1906741"/>
    <n v="1705821"/>
    <n v="1286872"/>
    <n v="1895207"/>
    <n v="2045793"/>
    <n v="2046666"/>
    <n v="2201963"/>
    <n v="67"/>
    <n v="81"/>
    <n v="71"/>
    <n v="73"/>
    <n v="59"/>
    <n v="59"/>
    <n v="69"/>
    <n v="80"/>
    <x v="0"/>
    <s v="No"/>
    <s v="No"/>
    <s v="No"/>
    <s v="No"/>
    <s v="No"/>
    <s v="No"/>
    <s v="Yes"/>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8" cacheId="24"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8:B41" firstHeaderRow="1" firstDataRow="1" firstDataCol="1"/>
  <pivotFields count="25">
    <pivotField showAll="0"/>
    <pivotField numFmtId="164" showAll="0"/>
    <pivotField numFmtId="164" showAll="0"/>
    <pivotField numFmtId="164" showAll="0"/>
    <pivotField numFmtId="164" showAll="0"/>
    <pivotField numFmtId="164" showAll="0"/>
    <pivotField numFmtId="164" showAll="0"/>
    <pivotField numFmtId="164" showAll="0"/>
    <pivotField dataField="1" numFmtId="164" showAll="0"/>
    <pivotField numFmtId="1" showAll="0"/>
    <pivotField numFmtId="1" showAll="0"/>
    <pivotField numFmtId="1" showAll="0"/>
    <pivotField numFmtId="1" showAll="0"/>
    <pivotField numFmtId="1" showAll="0"/>
    <pivotField numFmtId="1" showAll="0"/>
    <pivotField numFmtId="1" showAll="0"/>
    <pivotField showAll="0"/>
    <pivotField axis="axisRow" showAll="0">
      <items count="3">
        <item x="0"/>
        <item x="1"/>
        <item t="default"/>
      </items>
    </pivotField>
    <pivotField showAll="0"/>
    <pivotField showAll="0"/>
    <pivotField showAll="0"/>
    <pivotField showAll="0"/>
    <pivotField showAll="0"/>
    <pivotField showAll="0"/>
    <pivotField showAll="0"/>
  </pivotFields>
  <rowFields count="1">
    <field x="17"/>
  </rowFields>
  <rowItems count="3">
    <i>
      <x/>
    </i>
    <i>
      <x v="1"/>
    </i>
    <i t="grand">
      <x/>
    </i>
  </rowItems>
  <colItems count="1">
    <i/>
  </colItems>
  <dataFields count="1">
    <dataField name="Average of Salary 2011" fld="8" subtotal="average" baseField="17"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7" cacheId="24"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3:B36" firstHeaderRow="1" firstDataRow="1" firstDataCol="1"/>
  <pivotFields count="25">
    <pivotField showAll="0"/>
    <pivotField numFmtId="164" showAll="0"/>
    <pivotField numFmtId="164" showAll="0"/>
    <pivotField numFmtId="164" showAll="0"/>
    <pivotField numFmtId="164" showAll="0"/>
    <pivotField numFmtId="164" showAll="0"/>
    <pivotField numFmtId="164" showAll="0"/>
    <pivotField dataField="1" numFmtId="164" showAll="0"/>
    <pivotField numFmtId="164" showAll="0"/>
    <pivotField numFmtId="1" showAll="0"/>
    <pivotField numFmtId="1" showAll="0"/>
    <pivotField numFmtId="1" showAll="0"/>
    <pivotField numFmtId="1" showAll="0"/>
    <pivotField numFmtId="1" showAll="0"/>
    <pivotField numFmtId="1" showAll="0"/>
    <pivotField numFmtId="1" showAll="0"/>
    <pivotField showAll="0"/>
    <pivotField axis="axisRow" showAll="0">
      <items count="3">
        <item x="0"/>
        <item x="1"/>
        <item t="default"/>
      </items>
    </pivotField>
    <pivotField showAll="0"/>
    <pivotField showAll="0"/>
    <pivotField showAll="0"/>
    <pivotField showAll="0"/>
    <pivotField showAll="0"/>
    <pivotField showAll="0"/>
    <pivotField showAll="0"/>
  </pivotFields>
  <rowFields count="1">
    <field x="17"/>
  </rowFields>
  <rowItems count="3">
    <i>
      <x/>
    </i>
    <i>
      <x v="1"/>
    </i>
    <i t="grand">
      <x/>
    </i>
  </rowItems>
  <colItems count="1">
    <i/>
  </colItems>
  <dataFields count="1">
    <dataField name="Average of Salary 2010" fld="7" subtotal="average" baseField="17"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2" cacheId="24"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8:B11" firstHeaderRow="1" firstDataRow="1" firstDataCol="1"/>
  <pivotFields count="25">
    <pivotField showAll="0"/>
    <pivotField numFmtId="164" showAll="0"/>
    <pivotField dataField="1" numFmtId="164" showAll="0"/>
    <pivotField numFmtId="164" showAll="0"/>
    <pivotField numFmtId="164" showAll="0"/>
    <pivotField numFmtId="164" showAll="0"/>
    <pivotField numFmtId="164" showAll="0"/>
    <pivotField numFmtId="164" showAll="0"/>
    <pivotField numFmtId="164" showAll="0"/>
    <pivotField numFmtId="1" showAll="0"/>
    <pivotField numFmtId="1" showAll="0"/>
    <pivotField numFmtId="1" showAll="0"/>
    <pivotField numFmtId="1" showAll="0"/>
    <pivotField numFmtId="1" showAll="0"/>
    <pivotField numFmtId="1" showAll="0"/>
    <pivotField numFmtId="1" showAll="0"/>
    <pivotField showAll="0"/>
    <pivotField axis="axisRow" showAll="0">
      <items count="3">
        <item x="0"/>
        <item x="1"/>
        <item t="default"/>
      </items>
    </pivotField>
    <pivotField showAll="0"/>
    <pivotField showAll="0"/>
    <pivotField showAll="0"/>
    <pivotField showAll="0"/>
    <pivotField showAll="0"/>
    <pivotField showAll="0"/>
    <pivotField showAll="0"/>
  </pivotFields>
  <rowFields count="1">
    <field x="17"/>
  </rowFields>
  <rowItems count="3">
    <i>
      <x/>
    </i>
    <i>
      <x v="1"/>
    </i>
    <i t="grand">
      <x/>
    </i>
  </rowItems>
  <colItems count="1">
    <i/>
  </colItems>
  <dataFields count="1">
    <dataField name="Average of Salary 2005" fld="2" subtotal="average" baseField="17"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5" cacheId="24"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23:B26" firstHeaderRow="1" firstDataRow="1" firstDataCol="1"/>
  <pivotFields count="25">
    <pivotField showAll="0"/>
    <pivotField numFmtId="164" showAll="0"/>
    <pivotField numFmtId="164" showAll="0"/>
    <pivotField numFmtId="164" showAll="0"/>
    <pivotField numFmtId="164" showAll="0"/>
    <pivotField dataField="1" numFmtId="164" showAll="0"/>
    <pivotField numFmtId="164" showAll="0"/>
    <pivotField numFmtId="164" showAll="0"/>
    <pivotField numFmtId="164" showAll="0"/>
    <pivotField numFmtId="1" showAll="0"/>
    <pivotField numFmtId="1" showAll="0"/>
    <pivotField numFmtId="1" showAll="0"/>
    <pivotField numFmtId="1" showAll="0"/>
    <pivotField numFmtId="1" showAll="0"/>
    <pivotField numFmtId="1" showAll="0"/>
    <pivotField numFmtId="1" showAll="0"/>
    <pivotField showAll="0"/>
    <pivotField axis="axisRow" showAll="0">
      <items count="3">
        <item x="0"/>
        <item x="1"/>
        <item t="default"/>
      </items>
    </pivotField>
    <pivotField showAll="0"/>
    <pivotField showAll="0"/>
    <pivotField showAll="0"/>
    <pivotField showAll="0"/>
    <pivotField showAll="0"/>
    <pivotField showAll="0"/>
    <pivotField showAll="0"/>
  </pivotFields>
  <rowFields count="1">
    <field x="17"/>
  </rowFields>
  <rowItems count="3">
    <i>
      <x/>
    </i>
    <i>
      <x v="1"/>
    </i>
    <i t="grand">
      <x/>
    </i>
  </rowItems>
  <colItems count="1">
    <i/>
  </colItems>
  <dataFields count="1">
    <dataField name="Average of Salary 2008" fld="5" subtotal="average" baseField="17"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4" cacheId="24"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18:B21" firstHeaderRow="1" firstDataRow="1" firstDataCol="1"/>
  <pivotFields count="25">
    <pivotField showAll="0"/>
    <pivotField numFmtId="164" showAll="0"/>
    <pivotField numFmtId="164" showAll="0"/>
    <pivotField numFmtId="164" showAll="0"/>
    <pivotField dataField="1" numFmtId="164" showAll="0"/>
    <pivotField numFmtId="164" showAll="0"/>
    <pivotField numFmtId="164" showAll="0"/>
    <pivotField numFmtId="164" showAll="0"/>
    <pivotField numFmtId="164" showAll="0"/>
    <pivotField numFmtId="1" showAll="0"/>
    <pivotField numFmtId="1" showAll="0"/>
    <pivotField numFmtId="1" showAll="0"/>
    <pivotField numFmtId="1" showAll="0"/>
    <pivotField numFmtId="1" showAll="0"/>
    <pivotField numFmtId="1" showAll="0"/>
    <pivotField numFmtId="1" showAll="0"/>
    <pivotField showAll="0"/>
    <pivotField axis="axisRow" showAll="0">
      <items count="3">
        <item x="0"/>
        <item x="1"/>
        <item t="default"/>
      </items>
    </pivotField>
    <pivotField showAll="0"/>
    <pivotField showAll="0"/>
    <pivotField showAll="0"/>
    <pivotField showAll="0"/>
    <pivotField showAll="0"/>
    <pivotField showAll="0"/>
    <pivotField showAll="0"/>
  </pivotFields>
  <rowFields count="1">
    <field x="17"/>
  </rowFields>
  <rowItems count="3">
    <i>
      <x/>
    </i>
    <i>
      <x v="1"/>
    </i>
    <i t="grand">
      <x/>
    </i>
  </rowItems>
  <colItems count="1">
    <i/>
  </colItems>
  <dataFields count="1">
    <dataField name="Average of Salary 2007" fld="4" subtotal="average" baseField="17"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6" cacheId="24"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28:B31" firstHeaderRow="1" firstDataRow="1" firstDataCol="1"/>
  <pivotFields count="25">
    <pivotField showAll="0"/>
    <pivotField numFmtId="164" showAll="0"/>
    <pivotField numFmtId="164" showAll="0"/>
    <pivotField numFmtId="164" showAll="0"/>
    <pivotField numFmtId="164" showAll="0"/>
    <pivotField numFmtId="164" showAll="0"/>
    <pivotField dataField="1" numFmtId="164" showAll="0"/>
    <pivotField numFmtId="164" showAll="0"/>
    <pivotField numFmtId="164" showAll="0"/>
    <pivotField numFmtId="1" showAll="0"/>
    <pivotField numFmtId="1" showAll="0"/>
    <pivotField numFmtId="1" showAll="0"/>
    <pivotField numFmtId="1" showAll="0"/>
    <pivotField numFmtId="1" showAll="0"/>
    <pivotField numFmtId="1" showAll="0"/>
    <pivotField numFmtId="1" showAll="0"/>
    <pivotField showAll="0"/>
    <pivotField axis="axisRow" showAll="0">
      <items count="3">
        <item x="0"/>
        <item x="1"/>
        <item t="default"/>
      </items>
    </pivotField>
    <pivotField showAll="0"/>
    <pivotField showAll="0"/>
    <pivotField showAll="0"/>
    <pivotField showAll="0"/>
    <pivotField showAll="0"/>
    <pivotField showAll="0"/>
    <pivotField showAll="0"/>
  </pivotFields>
  <rowFields count="1">
    <field x="17"/>
  </rowFields>
  <rowItems count="3">
    <i>
      <x/>
    </i>
    <i>
      <x v="1"/>
    </i>
    <i t="grand">
      <x/>
    </i>
  </rowItems>
  <colItems count="1">
    <i/>
  </colItems>
  <dataFields count="1">
    <dataField name="Average of Salary 2009" fld="6" subtotal="average" baseField="17"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3" cacheId="24"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13:B16" firstHeaderRow="1" firstDataRow="1" firstDataCol="1"/>
  <pivotFields count="25">
    <pivotField showAll="0"/>
    <pivotField numFmtId="164" showAll="0"/>
    <pivotField numFmtId="164" showAll="0"/>
    <pivotField dataField="1" numFmtId="164" showAll="0"/>
    <pivotField numFmtId="164" showAll="0"/>
    <pivotField numFmtId="164" showAll="0"/>
    <pivotField numFmtId="164" showAll="0"/>
    <pivotField numFmtId="164" showAll="0"/>
    <pivotField numFmtId="164" showAll="0"/>
    <pivotField numFmtId="1" showAll="0"/>
    <pivotField numFmtId="1" showAll="0"/>
    <pivotField numFmtId="1" showAll="0"/>
    <pivotField numFmtId="1" showAll="0"/>
    <pivotField numFmtId="1" showAll="0"/>
    <pivotField numFmtId="1" showAll="0"/>
    <pivotField numFmtId="1" showAll="0"/>
    <pivotField showAll="0"/>
    <pivotField axis="axisRow" showAll="0">
      <items count="3">
        <item x="0"/>
        <item x="1"/>
        <item t="default"/>
      </items>
    </pivotField>
    <pivotField showAll="0"/>
    <pivotField showAll="0"/>
    <pivotField showAll="0"/>
    <pivotField showAll="0"/>
    <pivotField showAll="0"/>
    <pivotField showAll="0"/>
    <pivotField showAll="0"/>
  </pivotFields>
  <rowFields count="1">
    <field x="17"/>
  </rowFields>
  <rowItems count="3">
    <i>
      <x/>
    </i>
    <i>
      <x v="1"/>
    </i>
    <i t="grand">
      <x/>
    </i>
  </rowItems>
  <colItems count="1">
    <i/>
  </colItems>
  <dataFields count="1">
    <dataField name="Average of Salary 2006" fld="3" subtotal="average" baseField="17"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8.xml><?xml version="1.0" encoding="utf-8"?>
<pivotTableDefinition xmlns="http://schemas.openxmlformats.org/spreadsheetml/2006/main" name="PivotTable1" cacheId="24"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B6" firstHeaderRow="1" firstDataRow="1" firstDataCol="1"/>
  <pivotFields count="25">
    <pivotField showAll="0"/>
    <pivotField dataField="1" numFmtId="164" showAll="0"/>
    <pivotField numFmtId="164" showAll="0"/>
    <pivotField numFmtId="164" showAll="0"/>
    <pivotField numFmtId="164" showAll="0"/>
    <pivotField numFmtId="164" showAll="0"/>
    <pivotField numFmtId="164" showAll="0"/>
    <pivotField numFmtId="164" showAll="0"/>
    <pivotField numFmtId="164" showAll="0"/>
    <pivotField numFmtId="1" showAll="0"/>
    <pivotField numFmtId="1" showAll="0"/>
    <pivotField numFmtId="1" showAll="0"/>
    <pivotField numFmtId="1" showAll="0"/>
    <pivotField numFmtId="1" showAll="0"/>
    <pivotField numFmtId="1" showAll="0"/>
    <pivotField numFmtId="1" showAll="0"/>
    <pivotField showAll="0"/>
    <pivotField axis="axisRow" showAll="0">
      <items count="3">
        <item x="0"/>
        <item x="1"/>
        <item t="default"/>
      </items>
    </pivotField>
    <pivotField showAll="0"/>
    <pivotField showAll="0"/>
    <pivotField showAll="0"/>
    <pivotField showAll="0"/>
    <pivotField showAll="0"/>
    <pivotField showAll="0"/>
    <pivotField showAll="0"/>
  </pivotFields>
  <rowFields count="1">
    <field x="17"/>
  </rowFields>
  <rowItems count="3">
    <i>
      <x/>
    </i>
    <i>
      <x v="1"/>
    </i>
    <i t="grand">
      <x/>
    </i>
  </rowItems>
  <colItems count="1">
    <i/>
  </colItems>
  <dataFields count="1">
    <dataField name="Average of Salary 2004" fld="1" subtotal="average" baseField="0" baseItem="2485848"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8" Type="http://schemas.openxmlformats.org/officeDocument/2006/relationships/pivotTable" Target="../pivotTables/pivotTable8.xml"/><Relationship Id="rId3" Type="http://schemas.openxmlformats.org/officeDocument/2006/relationships/pivotTable" Target="../pivotTables/pivotTable3.xml"/><Relationship Id="rId7" Type="http://schemas.openxmlformats.org/officeDocument/2006/relationships/pivotTable" Target="../pivotTables/pivotTable7.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 Id="rId9"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6"/>
  <sheetViews>
    <sheetView tabSelected="1" workbookViewId="0"/>
  </sheetViews>
  <sheetFormatPr defaultRowHeight="15" x14ac:dyDescent="0.25"/>
  <cols>
    <col min="1" max="1" width="21.42578125" bestFit="1" customWidth="1"/>
    <col min="2" max="7" width="12.7109375" bestFit="1" customWidth="1"/>
    <col min="8" max="9" width="12.7109375" customWidth="1"/>
    <col min="10" max="11" width="10" style="4" bestFit="1" customWidth="1"/>
    <col min="12" max="17" width="10" bestFit="1" customWidth="1"/>
    <col min="18" max="23" width="12.5703125" customWidth="1"/>
    <col min="24" max="25" width="12.5703125" style="21" bestFit="1" customWidth="1"/>
  </cols>
  <sheetData>
    <row r="1" spans="1:25" s="2" customFormat="1" x14ac:dyDescent="0.25">
      <c r="A1" s="3" t="s">
        <v>0</v>
      </c>
      <c r="B1" s="2" t="s">
        <v>30</v>
      </c>
      <c r="C1" s="2" t="s">
        <v>31</v>
      </c>
      <c r="D1" s="2" t="s">
        <v>32</v>
      </c>
      <c r="E1" s="2" t="s">
        <v>33</v>
      </c>
      <c r="F1" s="2" t="s">
        <v>34</v>
      </c>
      <c r="G1" s="2" t="s">
        <v>35</v>
      </c>
      <c r="H1" s="2" t="s">
        <v>47</v>
      </c>
      <c r="I1" s="2" t="s">
        <v>48</v>
      </c>
      <c r="J1" s="5" t="s">
        <v>36</v>
      </c>
      <c r="K1" s="5" t="s">
        <v>37</v>
      </c>
      <c r="L1" s="5" t="s">
        <v>38</v>
      </c>
      <c r="M1" s="5" t="s">
        <v>39</v>
      </c>
      <c r="N1" s="5" t="s">
        <v>40</v>
      </c>
      <c r="O1" s="5" t="s">
        <v>41</v>
      </c>
      <c r="P1" s="5" t="s">
        <v>49</v>
      </c>
      <c r="Q1" s="5" t="s">
        <v>50</v>
      </c>
      <c r="R1" s="30" t="s">
        <v>187</v>
      </c>
      <c r="S1" s="30" t="s">
        <v>188</v>
      </c>
      <c r="T1" s="30" t="s">
        <v>189</v>
      </c>
      <c r="U1" s="30" t="s">
        <v>190</v>
      </c>
      <c r="V1" s="30" t="s">
        <v>191</v>
      </c>
      <c r="W1" s="30" t="s">
        <v>192</v>
      </c>
      <c r="X1" s="30" t="s">
        <v>195</v>
      </c>
      <c r="Y1" s="30" t="s">
        <v>196</v>
      </c>
    </row>
    <row r="2" spans="1:25" x14ac:dyDescent="0.25">
      <c r="A2" t="s">
        <v>1</v>
      </c>
      <c r="B2" s="1">
        <v>1594832</v>
      </c>
      <c r="C2" s="1">
        <v>2291093</v>
      </c>
      <c r="D2" s="1">
        <v>1788827</v>
      </c>
      <c r="E2" s="1">
        <v>1899437</v>
      </c>
      <c r="F2" s="1">
        <v>2364383</v>
      </c>
      <c r="G2" s="1">
        <v>2724877</v>
      </c>
      <c r="H2" s="1">
        <v>2335314</v>
      </c>
      <c r="I2" s="1">
        <v>1986660</v>
      </c>
      <c r="J2" s="4">
        <v>51</v>
      </c>
      <c r="K2" s="4">
        <v>77</v>
      </c>
      <c r="L2" s="4">
        <v>76</v>
      </c>
      <c r="M2" s="6">
        <v>90</v>
      </c>
      <c r="N2" s="4">
        <v>82</v>
      </c>
      <c r="O2" s="4">
        <v>70</v>
      </c>
      <c r="P2" s="4">
        <v>65</v>
      </c>
      <c r="Q2" s="6">
        <v>94</v>
      </c>
      <c r="R2" s="31" t="s">
        <v>193</v>
      </c>
      <c r="S2" s="31" t="s">
        <v>193</v>
      </c>
      <c r="T2" s="31" t="s">
        <v>193</v>
      </c>
      <c r="U2" s="32" t="s">
        <v>194</v>
      </c>
      <c r="V2" s="31" t="s">
        <v>193</v>
      </c>
      <c r="W2" s="31" t="s">
        <v>193</v>
      </c>
      <c r="X2" s="31" t="s">
        <v>193</v>
      </c>
      <c r="Y2" s="32" t="s">
        <v>194</v>
      </c>
    </row>
    <row r="3" spans="1:25" x14ac:dyDescent="0.25">
      <c r="A3" t="s">
        <v>2</v>
      </c>
      <c r="B3" s="1">
        <v>3266573</v>
      </c>
      <c r="C3" s="1">
        <v>3045938</v>
      </c>
      <c r="D3" s="1">
        <v>2714789</v>
      </c>
      <c r="E3" s="1">
        <v>3121155</v>
      </c>
      <c r="F3" s="1">
        <v>3412189</v>
      </c>
      <c r="G3" s="1">
        <v>3335385</v>
      </c>
      <c r="H3" s="1">
        <v>3126802</v>
      </c>
      <c r="I3" s="1">
        <v>3346257</v>
      </c>
      <c r="J3" s="6">
        <v>96</v>
      </c>
      <c r="K3" s="6">
        <v>90</v>
      </c>
      <c r="L3" s="4">
        <v>79</v>
      </c>
      <c r="M3" s="4">
        <v>84</v>
      </c>
      <c r="N3" s="4">
        <v>72</v>
      </c>
      <c r="O3" s="4">
        <v>86</v>
      </c>
      <c r="P3" s="6">
        <v>91</v>
      </c>
      <c r="Q3" s="4">
        <v>89</v>
      </c>
      <c r="R3" s="32" t="s">
        <v>194</v>
      </c>
      <c r="S3" s="32" t="s">
        <v>194</v>
      </c>
      <c r="T3" s="31" t="s">
        <v>193</v>
      </c>
      <c r="U3" s="31" t="s">
        <v>193</v>
      </c>
      <c r="V3" s="31" t="s">
        <v>193</v>
      </c>
      <c r="W3" s="31" t="s">
        <v>193</v>
      </c>
      <c r="X3" s="32" t="s">
        <v>194</v>
      </c>
      <c r="Y3" s="31" t="s">
        <v>193</v>
      </c>
    </row>
    <row r="4" spans="1:25" x14ac:dyDescent="0.25">
      <c r="A4" t="s">
        <v>3</v>
      </c>
      <c r="B4" s="1">
        <v>1721832</v>
      </c>
      <c r="C4" s="1">
        <v>2700738</v>
      </c>
      <c r="D4" s="1">
        <v>2580843</v>
      </c>
      <c r="E4" s="1">
        <v>3049758</v>
      </c>
      <c r="F4" s="1">
        <v>2099883</v>
      </c>
      <c r="G4" s="1">
        <v>2580833</v>
      </c>
      <c r="H4" s="1">
        <v>3138942</v>
      </c>
      <c r="I4" s="1">
        <v>3280924</v>
      </c>
      <c r="J4" s="4">
        <v>78</v>
      </c>
      <c r="K4" s="4">
        <v>74</v>
      </c>
      <c r="L4" s="4">
        <v>70</v>
      </c>
      <c r="M4" s="4">
        <v>69</v>
      </c>
      <c r="N4" s="4">
        <v>68</v>
      </c>
      <c r="O4" s="4">
        <v>64</v>
      </c>
      <c r="P4" s="4">
        <v>66</v>
      </c>
      <c r="Q4" s="4">
        <v>69</v>
      </c>
      <c r="R4" s="31" t="s">
        <v>193</v>
      </c>
      <c r="S4" s="31" t="s">
        <v>193</v>
      </c>
      <c r="T4" s="31" t="s">
        <v>193</v>
      </c>
      <c r="U4" s="31" t="s">
        <v>193</v>
      </c>
      <c r="V4" s="31" t="s">
        <v>193</v>
      </c>
      <c r="W4" s="31" t="s">
        <v>193</v>
      </c>
      <c r="X4" s="31" t="s">
        <v>193</v>
      </c>
      <c r="Y4" s="31" t="s">
        <v>193</v>
      </c>
    </row>
    <row r="5" spans="1:25" x14ac:dyDescent="0.25">
      <c r="A5" t="s">
        <v>4</v>
      </c>
      <c r="B5" s="1">
        <v>3714530</v>
      </c>
      <c r="C5" s="1">
        <v>4168466</v>
      </c>
      <c r="D5" s="1">
        <v>3986768</v>
      </c>
      <c r="E5" s="1">
        <v>5456506</v>
      </c>
      <c r="F5" s="1">
        <v>4763930</v>
      </c>
      <c r="G5" s="1">
        <v>4089867</v>
      </c>
      <c r="H5" s="1">
        <v>5601632</v>
      </c>
      <c r="I5" s="1">
        <v>5991202</v>
      </c>
      <c r="J5" s="10">
        <v>98</v>
      </c>
      <c r="K5" s="6">
        <v>95</v>
      </c>
      <c r="L5" s="4">
        <v>86</v>
      </c>
      <c r="M5" s="10">
        <v>96</v>
      </c>
      <c r="N5" s="6">
        <v>95</v>
      </c>
      <c r="O5" s="6">
        <v>95</v>
      </c>
      <c r="P5" s="11">
        <v>89</v>
      </c>
      <c r="Q5">
        <v>90</v>
      </c>
      <c r="R5" s="33" t="s">
        <v>194</v>
      </c>
      <c r="S5" s="32" t="s">
        <v>194</v>
      </c>
      <c r="T5" s="31" t="s">
        <v>193</v>
      </c>
      <c r="U5" s="33" t="s">
        <v>194</v>
      </c>
      <c r="V5" s="32" t="s">
        <v>194</v>
      </c>
      <c r="W5" s="32" t="s">
        <v>194</v>
      </c>
      <c r="X5" s="37" t="s">
        <v>193</v>
      </c>
      <c r="Y5" s="21" t="s">
        <v>193</v>
      </c>
    </row>
    <row r="6" spans="1:25" x14ac:dyDescent="0.25">
      <c r="A6" t="s">
        <v>5</v>
      </c>
      <c r="B6" s="1">
        <v>3504285</v>
      </c>
      <c r="C6" s="1">
        <v>2903423</v>
      </c>
      <c r="D6" s="1">
        <v>2694272</v>
      </c>
      <c r="E6" s="1">
        <v>3903005</v>
      </c>
      <c r="F6" s="1">
        <v>4383179</v>
      </c>
      <c r="G6" s="1">
        <v>5402000</v>
      </c>
      <c r="H6" s="1">
        <v>5429962</v>
      </c>
      <c r="I6" s="1">
        <v>5001893</v>
      </c>
      <c r="J6" s="4">
        <v>89</v>
      </c>
      <c r="K6" s="4">
        <v>79</v>
      </c>
      <c r="L6" s="4">
        <v>66</v>
      </c>
      <c r="M6" s="6">
        <v>85</v>
      </c>
      <c r="N6" s="6">
        <v>97</v>
      </c>
      <c r="O6" s="4">
        <v>83</v>
      </c>
      <c r="P6" s="11">
        <v>75</v>
      </c>
      <c r="Q6">
        <v>71</v>
      </c>
      <c r="R6" s="31" t="s">
        <v>193</v>
      </c>
      <c r="S6" s="31" t="s">
        <v>193</v>
      </c>
      <c r="T6" s="31" t="s">
        <v>193</v>
      </c>
      <c r="U6" s="32" t="s">
        <v>194</v>
      </c>
      <c r="V6" s="32" t="s">
        <v>194</v>
      </c>
      <c r="W6" s="31" t="s">
        <v>193</v>
      </c>
      <c r="X6" s="37" t="s">
        <v>193</v>
      </c>
      <c r="Y6" s="21" t="s">
        <v>193</v>
      </c>
    </row>
    <row r="7" spans="1:25" x14ac:dyDescent="0.25">
      <c r="A7" t="s">
        <v>6</v>
      </c>
      <c r="B7" s="1">
        <v>2567749</v>
      </c>
      <c r="C7" s="1">
        <v>2881675</v>
      </c>
      <c r="D7" s="1">
        <v>3807074</v>
      </c>
      <c r="E7" s="1">
        <v>3718332</v>
      </c>
      <c r="F7" s="1">
        <v>4488494</v>
      </c>
      <c r="G7" s="1">
        <v>3694942</v>
      </c>
      <c r="H7" s="1">
        <v>4058846</v>
      </c>
      <c r="I7" s="1">
        <v>4732925</v>
      </c>
      <c r="J7" s="4">
        <v>83</v>
      </c>
      <c r="K7" s="10">
        <v>99</v>
      </c>
      <c r="L7" s="4">
        <v>90</v>
      </c>
      <c r="M7" s="4">
        <v>72</v>
      </c>
      <c r="N7" s="6">
        <v>89</v>
      </c>
      <c r="O7" s="4">
        <v>79</v>
      </c>
      <c r="P7" s="11">
        <v>88</v>
      </c>
      <c r="Q7" s="4">
        <v>79</v>
      </c>
      <c r="R7" s="31" t="s">
        <v>193</v>
      </c>
      <c r="S7" s="33" t="s">
        <v>194</v>
      </c>
      <c r="T7" s="31" t="s">
        <v>193</v>
      </c>
      <c r="U7" s="31" t="s">
        <v>193</v>
      </c>
      <c r="V7" s="32" t="s">
        <v>194</v>
      </c>
      <c r="W7" s="31" t="s">
        <v>193</v>
      </c>
      <c r="X7" s="37" t="s">
        <v>193</v>
      </c>
      <c r="Y7" s="31" t="s">
        <v>193</v>
      </c>
    </row>
    <row r="8" spans="1:25" x14ac:dyDescent="0.25">
      <c r="A8" t="s">
        <v>7</v>
      </c>
      <c r="B8" s="1">
        <v>1367389</v>
      </c>
      <c r="C8" s="1">
        <v>1562528</v>
      </c>
      <c r="D8" s="1">
        <v>2304438</v>
      </c>
      <c r="E8" s="1">
        <v>2042331</v>
      </c>
      <c r="F8" s="1">
        <v>2647061</v>
      </c>
      <c r="G8" s="1">
        <v>2957021</v>
      </c>
      <c r="H8" s="1">
        <v>2760059</v>
      </c>
      <c r="I8" s="1">
        <v>2531571</v>
      </c>
      <c r="J8" s="4">
        <v>76</v>
      </c>
      <c r="K8" s="4">
        <v>73</v>
      </c>
      <c r="L8" s="4">
        <v>80</v>
      </c>
      <c r="M8" s="4">
        <v>72</v>
      </c>
      <c r="N8" s="4">
        <v>74</v>
      </c>
      <c r="O8" s="4">
        <v>78</v>
      </c>
      <c r="P8" s="6">
        <v>91</v>
      </c>
      <c r="Q8" s="4">
        <v>79</v>
      </c>
      <c r="R8" s="31" t="s">
        <v>193</v>
      </c>
      <c r="S8" s="31" t="s">
        <v>193</v>
      </c>
      <c r="T8" s="31" t="s">
        <v>193</v>
      </c>
      <c r="U8" s="31" t="s">
        <v>193</v>
      </c>
      <c r="V8" s="31" t="s">
        <v>193</v>
      </c>
      <c r="W8" s="31" t="s">
        <v>193</v>
      </c>
      <c r="X8" s="32" t="s">
        <v>194</v>
      </c>
      <c r="Y8" s="31" t="s">
        <v>193</v>
      </c>
    </row>
    <row r="9" spans="1:25" x14ac:dyDescent="0.25">
      <c r="A9" t="s">
        <v>8</v>
      </c>
      <c r="B9" s="1">
        <v>1220378</v>
      </c>
      <c r="C9" s="1">
        <v>1527704</v>
      </c>
      <c r="D9" s="1">
        <v>1481261</v>
      </c>
      <c r="E9" s="1">
        <v>2535472</v>
      </c>
      <c r="F9" s="1">
        <v>3037310</v>
      </c>
      <c r="G9" s="1">
        <v>3023169</v>
      </c>
      <c r="H9" s="1">
        <v>2110481</v>
      </c>
      <c r="I9" s="1">
        <v>1639685</v>
      </c>
      <c r="J9" s="4">
        <v>80</v>
      </c>
      <c r="K9" s="4">
        <v>93</v>
      </c>
      <c r="L9" s="4">
        <v>78</v>
      </c>
      <c r="M9" s="6">
        <v>97</v>
      </c>
      <c r="N9" s="4">
        <v>81</v>
      </c>
      <c r="O9" s="4">
        <v>65</v>
      </c>
      <c r="P9" s="11">
        <v>69</v>
      </c>
      <c r="Q9" s="4">
        <v>80</v>
      </c>
      <c r="R9" s="31" t="s">
        <v>193</v>
      </c>
      <c r="S9" s="31" t="s">
        <v>193</v>
      </c>
      <c r="T9" s="31" t="s">
        <v>193</v>
      </c>
      <c r="U9" s="32" t="s">
        <v>194</v>
      </c>
      <c r="V9" s="31" t="s">
        <v>193</v>
      </c>
      <c r="W9" s="31" t="s">
        <v>193</v>
      </c>
      <c r="X9" s="37" t="s">
        <v>193</v>
      </c>
      <c r="Y9" s="31" t="s">
        <v>193</v>
      </c>
    </row>
    <row r="10" spans="1:25" x14ac:dyDescent="0.25">
      <c r="A10" t="s">
        <v>9</v>
      </c>
      <c r="B10" s="1">
        <v>1736715</v>
      </c>
      <c r="C10" s="1">
        <v>1078734</v>
      </c>
      <c r="D10" s="1">
        <v>1833905</v>
      </c>
      <c r="E10" s="1">
        <v>1831818</v>
      </c>
      <c r="F10" s="1">
        <v>2640596</v>
      </c>
      <c r="G10" s="1">
        <v>2785222</v>
      </c>
      <c r="H10" s="1">
        <v>2904379</v>
      </c>
      <c r="I10" s="1">
        <v>3390310</v>
      </c>
      <c r="J10" s="4">
        <v>68</v>
      </c>
      <c r="K10" s="4">
        <v>67</v>
      </c>
      <c r="L10" s="4">
        <v>76</v>
      </c>
      <c r="M10" s="7">
        <v>90</v>
      </c>
      <c r="N10" s="4">
        <v>74</v>
      </c>
      <c r="O10" s="6">
        <v>92</v>
      </c>
      <c r="P10" s="11">
        <v>83</v>
      </c>
      <c r="Q10" s="4">
        <v>73</v>
      </c>
      <c r="R10" s="31" t="s">
        <v>193</v>
      </c>
      <c r="S10" s="31" t="s">
        <v>193</v>
      </c>
      <c r="T10" s="31" t="s">
        <v>193</v>
      </c>
      <c r="U10" s="34" t="s">
        <v>194</v>
      </c>
      <c r="V10" s="31" t="s">
        <v>193</v>
      </c>
      <c r="W10" s="32" t="s">
        <v>194</v>
      </c>
      <c r="X10" s="37" t="s">
        <v>193</v>
      </c>
      <c r="Y10" s="31" t="s">
        <v>193</v>
      </c>
    </row>
    <row r="11" spans="1:25" x14ac:dyDescent="0.25">
      <c r="A11" t="s">
        <v>10</v>
      </c>
      <c r="B11" s="1">
        <v>1579289</v>
      </c>
      <c r="C11" s="1">
        <v>2343467</v>
      </c>
      <c r="D11" s="1">
        <v>3061749</v>
      </c>
      <c r="E11" s="1">
        <v>2777021</v>
      </c>
      <c r="F11" s="1">
        <v>4589507</v>
      </c>
      <c r="G11" s="1">
        <v>4110184</v>
      </c>
      <c r="H11" s="1">
        <v>4550552</v>
      </c>
      <c r="I11" s="1">
        <v>3914823</v>
      </c>
      <c r="J11" s="4">
        <v>72</v>
      </c>
      <c r="K11" s="4">
        <v>71</v>
      </c>
      <c r="L11" s="7">
        <v>95</v>
      </c>
      <c r="M11" s="4">
        <v>88</v>
      </c>
      <c r="N11" s="4">
        <v>74</v>
      </c>
      <c r="O11" s="4">
        <v>86</v>
      </c>
      <c r="P11" s="11">
        <v>81</v>
      </c>
      <c r="Q11" s="6">
        <v>95</v>
      </c>
      <c r="R11" s="31" t="s">
        <v>193</v>
      </c>
      <c r="S11" s="31" t="s">
        <v>193</v>
      </c>
      <c r="T11" s="34" t="s">
        <v>194</v>
      </c>
      <c r="U11" s="31" t="s">
        <v>193</v>
      </c>
      <c r="V11" s="31" t="s">
        <v>193</v>
      </c>
      <c r="W11" s="31" t="s">
        <v>193</v>
      </c>
      <c r="X11" s="37" t="s">
        <v>193</v>
      </c>
      <c r="Y11" s="32" t="s">
        <v>194</v>
      </c>
    </row>
    <row r="12" spans="1:25" x14ac:dyDescent="0.25">
      <c r="A12" t="s">
        <v>11</v>
      </c>
      <c r="B12" s="1">
        <v>2528764</v>
      </c>
      <c r="C12" s="1">
        <v>2905946</v>
      </c>
      <c r="D12" s="1">
        <v>4283240</v>
      </c>
      <c r="E12" s="1">
        <v>2901852</v>
      </c>
      <c r="F12" s="1">
        <v>3293719</v>
      </c>
      <c r="G12" s="1">
        <v>3814682</v>
      </c>
      <c r="H12" s="1">
        <v>3298410</v>
      </c>
      <c r="I12" s="1">
        <v>2437724</v>
      </c>
      <c r="J12" s="6">
        <v>92</v>
      </c>
      <c r="K12" s="7">
        <v>89</v>
      </c>
      <c r="L12" s="4">
        <v>82</v>
      </c>
      <c r="M12" s="4">
        <v>73</v>
      </c>
      <c r="N12" s="4">
        <v>86</v>
      </c>
      <c r="O12" s="4">
        <v>74</v>
      </c>
      <c r="P12" s="11">
        <v>76</v>
      </c>
      <c r="Q12" s="4">
        <v>56</v>
      </c>
      <c r="R12" s="31" t="s">
        <v>193</v>
      </c>
      <c r="S12" s="31" t="s">
        <v>193</v>
      </c>
      <c r="T12" s="31" t="s">
        <v>193</v>
      </c>
      <c r="U12" s="31" t="s">
        <v>193</v>
      </c>
      <c r="V12" s="31" t="s">
        <v>193</v>
      </c>
      <c r="W12" s="31" t="s">
        <v>193</v>
      </c>
      <c r="X12" s="37" t="s">
        <v>193</v>
      </c>
      <c r="Y12" s="31" t="s">
        <v>193</v>
      </c>
    </row>
    <row r="13" spans="1:25" x14ac:dyDescent="0.25">
      <c r="A13" t="s">
        <v>12</v>
      </c>
      <c r="B13" s="1">
        <v>1111106</v>
      </c>
      <c r="C13" s="1">
        <v>1148717</v>
      </c>
      <c r="D13" s="1">
        <v>1624478</v>
      </c>
      <c r="E13" s="1">
        <v>1753368</v>
      </c>
      <c r="F13" s="1">
        <v>2240212</v>
      </c>
      <c r="G13" s="1">
        <v>2727244</v>
      </c>
      <c r="H13" s="1">
        <v>2644637</v>
      </c>
      <c r="I13" s="1">
        <v>1338000</v>
      </c>
      <c r="J13" s="4">
        <v>58</v>
      </c>
      <c r="K13" s="4">
        <v>56</v>
      </c>
      <c r="L13" s="4">
        <v>62</v>
      </c>
      <c r="M13" s="4">
        <v>69</v>
      </c>
      <c r="N13" s="4">
        <v>75</v>
      </c>
      <c r="O13" s="4">
        <v>65</v>
      </c>
      <c r="P13" s="11">
        <v>67</v>
      </c>
      <c r="Q13" s="4">
        <v>71</v>
      </c>
      <c r="R13" s="32" t="s">
        <v>194</v>
      </c>
      <c r="S13" s="34" t="s">
        <v>194</v>
      </c>
      <c r="T13" s="31" t="s">
        <v>193</v>
      </c>
      <c r="U13" s="31" t="s">
        <v>193</v>
      </c>
      <c r="V13" s="31" t="s">
        <v>193</v>
      </c>
      <c r="W13" s="31" t="s">
        <v>193</v>
      </c>
      <c r="X13" s="37" t="s">
        <v>193</v>
      </c>
      <c r="Y13" s="31" t="s">
        <v>193</v>
      </c>
    </row>
    <row r="14" spans="1:25" x14ac:dyDescent="0.25">
      <c r="A14" t="s">
        <v>13</v>
      </c>
      <c r="B14" s="1">
        <v>3644588</v>
      </c>
      <c r="C14" s="1">
        <v>3119308</v>
      </c>
      <c r="D14" s="1">
        <v>3033520</v>
      </c>
      <c r="E14" s="1">
        <v>3341379</v>
      </c>
      <c r="F14" s="1">
        <v>4110908</v>
      </c>
      <c r="G14" s="1">
        <v>4061036</v>
      </c>
      <c r="H14" s="1">
        <v>3619443</v>
      </c>
      <c r="I14" s="1">
        <v>4469134</v>
      </c>
      <c r="J14" s="6">
        <v>92</v>
      </c>
      <c r="K14" s="6">
        <v>95</v>
      </c>
      <c r="L14" s="4">
        <v>89</v>
      </c>
      <c r="M14" s="6">
        <v>94</v>
      </c>
      <c r="N14" s="6">
        <v>100</v>
      </c>
      <c r="O14" s="6">
        <v>97</v>
      </c>
      <c r="P14" s="11">
        <v>80</v>
      </c>
      <c r="Q14" s="6">
        <v>86</v>
      </c>
      <c r="R14" s="31" t="s">
        <v>193</v>
      </c>
      <c r="S14" s="31" t="s">
        <v>193</v>
      </c>
      <c r="T14" s="31" t="s">
        <v>193</v>
      </c>
      <c r="U14" s="31" t="s">
        <v>193</v>
      </c>
      <c r="V14" s="31" t="s">
        <v>193</v>
      </c>
      <c r="W14" s="31" t="s">
        <v>193</v>
      </c>
      <c r="X14" s="37" t="s">
        <v>193</v>
      </c>
      <c r="Y14" s="32" t="s">
        <v>194</v>
      </c>
    </row>
    <row r="15" spans="1:25" x14ac:dyDescent="0.25">
      <c r="A15" t="s">
        <v>14</v>
      </c>
      <c r="B15" s="1">
        <v>3293894</v>
      </c>
      <c r="C15" s="1">
        <v>2615430</v>
      </c>
      <c r="D15" s="1">
        <v>3467653</v>
      </c>
      <c r="E15" s="1">
        <v>3988311</v>
      </c>
      <c r="F15" s="1">
        <v>4089260</v>
      </c>
      <c r="G15" s="1">
        <v>4018324</v>
      </c>
      <c r="H15" s="1">
        <v>3531778</v>
      </c>
      <c r="I15" s="1">
        <v>3472966</v>
      </c>
      <c r="J15" s="6">
        <v>93</v>
      </c>
      <c r="K15" s="4">
        <v>71</v>
      </c>
      <c r="L15" s="6">
        <v>88</v>
      </c>
      <c r="M15" s="4">
        <v>82</v>
      </c>
      <c r="N15" s="6">
        <v>84</v>
      </c>
      <c r="O15" s="6">
        <v>95</v>
      </c>
      <c r="P15" s="11">
        <v>80</v>
      </c>
      <c r="Q15" s="6">
        <v>82</v>
      </c>
      <c r="R15" s="32" t="s">
        <v>194</v>
      </c>
      <c r="S15" s="32" t="s">
        <v>194</v>
      </c>
      <c r="T15" s="31" t="s">
        <v>193</v>
      </c>
      <c r="U15" s="32" t="s">
        <v>194</v>
      </c>
      <c r="V15" s="32" t="s">
        <v>194</v>
      </c>
      <c r="W15" s="32" t="s">
        <v>194</v>
      </c>
      <c r="X15" s="37" t="s">
        <v>193</v>
      </c>
      <c r="Y15" s="32" t="s">
        <v>194</v>
      </c>
    </row>
    <row r="16" spans="1:25" x14ac:dyDescent="0.25">
      <c r="A16" t="s">
        <v>46</v>
      </c>
      <c r="B16" s="1">
        <v>2114487</v>
      </c>
      <c r="C16" s="1">
        <v>1870086</v>
      </c>
      <c r="D16" s="1">
        <v>594722</v>
      </c>
      <c r="E16" s="1">
        <v>1294724</v>
      </c>
      <c r="F16" s="1">
        <v>660955</v>
      </c>
      <c r="G16" s="1">
        <v>1314786</v>
      </c>
      <c r="H16" s="1">
        <v>2112211</v>
      </c>
      <c r="I16" s="1">
        <v>2190153</v>
      </c>
      <c r="J16" s="4">
        <v>83</v>
      </c>
      <c r="K16" s="4">
        <v>83</v>
      </c>
      <c r="L16" s="4">
        <v>78</v>
      </c>
      <c r="M16" s="4">
        <v>71</v>
      </c>
      <c r="N16" s="4">
        <v>84</v>
      </c>
      <c r="O16" s="4">
        <v>87</v>
      </c>
      <c r="P16" s="11">
        <v>80</v>
      </c>
      <c r="Q16" s="4">
        <v>72</v>
      </c>
      <c r="R16" s="32" t="s">
        <v>194</v>
      </c>
      <c r="S16" s="31" t="s">
        <v>193</v>
      </c>
      <c r="T16" s="32" t="s">
        <v>194</v>
      </c>
      <c r="U16" s="31" t="s">
        <v>193</v>
      </c>
      <c r="V16" s="32" t="s">
        <v>194</v>
      </c>
      <c r="W16" s="32" t="s">
        <v>194</v>
      </c>
      <c r="X16" s="37" t="s">
        <v>193</v>
      </c>
      <c r="Y16" s="31" t="s">
        <v>193</v>
      </c>
    </row>
    <row r="17" spans="1:25" x14ac:dyDescent="0.25">
      <c r="A17" t="s">
        <v>15</v>
      </c>
      <c r="B17" s="1">
        <v>1044291</v>
      </c>
      <c r="C17" s="1">
        <v>1743476</v>
      </c>
      <c r="D17" s="1">
        <v>2160012</v>
      </c>
      <c r="E17" s="1">
        <v>2602110</v>
      </c>
      <c r="F17" s="1">
        <v>2790948</v>
      </c>
      <c r="G17" s="1">
        <v>3194300</v>
      </c>
      <c r="H17" s="1">
        <v>2796837</v>
      </c>
      <c r="I17" s="1">
        <v>2849911</v>
      </c>
      <c r="J17" s="4">
        <v>67</v>
      </c>
      <c r="K17" s="4">
        <v>81</v>
      </c>
      <c r="L17" s="4">
        <v>75</v>
      </c>
      <c r="M17" s="4">
        <v>83</v>
      </c>
      <c r="N17" s="6">
        <v>90</v>
      </c>
      <c r="O17" s="4">
        <v>80</v>
      </c>
      <c r="P17" s="11">
        <v>77</v>
      </c>
      <c r="Q17" s="6">
        <v>96</v>
      </c>
      <c r="R17" s="31" t="s">
        <v>193</v>
      </c>
      <c r="S17" s="31" t="s">
        <v>193</v>
      </c>
      <c r="T17" s="31" t="s">
        <v>193</v>
      </c>
      <c r="U17" s="31" t="s">
        <v>193</v>
      </c>
      <c r="V17" s="32" t="s">
        <v>194</v>
      </c>
      <c r="W17" s="31" t="s">
        <v>193</v>
      </c>
      <c r="X17" s="37" t="s">
        <v>193</v>
      </c>
      <c r="Y17" s="32" t="s">
        <v>194</v>
      </c>
    </row>
    <row r="18" spans="1:25" x14ac:dyDescent="0.25">
      <c r="A18" t="s">
        <v>16</v>
      </c>
      <c r="B18" s="1">
        <v>1893142</v>
      </c>
      <c r="C18" s="1">
        <v>1907247</v>
      </c>
      <c r="D18" s="1">
        <v>2576988</v>
      </c>
      <c r="E18" s="1">
        <v>1966060</v>
      </c>
      <c r="F18" s="1">
        <v>2277311</v>
      </c>
      <c r="G18" s="1">
        <v>2251699</v>
      </c>
      <c r="H18" s="1">
        <v>3484255</v>
      </c>
      <c r="I18" s="1">
        <v>4509480</v>
      </c>
      <c r="J18" s="6">
        <v>91</v>
      </c>
      <c r="K18" s="4">
        <v>83</v>
      </c>
      <c r="L18" s="6">
        <v>96</v>
      </c>
      <c r="M18" s="4">
        <v>79</v>
      </c>
      <c r="N18" s="4">
        <v>88</v>
      </c>
      <c r="O18" s="6">
        <v>87</v>
      </c>
      <c r="P18" s="6">
        <v>94</v>
      </c>
      <c r="Q18">
        <v>63</v>
      </c>
      <c r="R18" s="32" t="s">
        <v>194</v>
      </c>
      <c r="S18" s="31" t="s">
        <v>193</v>
      </c>
      <c r="T18" s="32" t="s">
        <v>194</v>
      </c>
      <c r="U18" s="31" t="s">
        <v>193</v>
      </c>
      <c r="V18" s="31" t="s">
        <v>193</v>
      </c>
      <c r="W18" s="32" t="s">
        <v>194</v>
      </c>
      <c r="X18" s="32" t="s">
        <v>194</v>
      </c>
      <c r="Y18" s="21" t="s">
        <v>193</v>
      </c>
    </row>
    <row r="19" spans="1:25" x14ac:dyDescent="0.25">
      <c r="A19" t="s">
        <v>17</v>
      </c>
      <c r="B19" s="1">
        <v>3343244</v>
      </c>
      <c r="C19" s="1">
        <v>3339685</v>
      </c>
      <c r="D19" s="1">
        <v>3859172</v>
      </c>
      <c r="E19" s="1">
        <v>4152777</v>
      </c>
      <c r="F19" s="1">
        <v>4593113</v>
      </c>
      <c r="G19" s="1">
        <v>4849071</v>
      </c>
      <c r="H19" s="1">
        <v>4800819</v>
      </c>
      <c r="I19" s="1">
        <v>4401752</v>
      </c>
      <c r="J19" s="4">
        <v>71</v>
      </c>
      <c r="K19" s="4">
        <v>83</v>
      </c>
      <c r="L19" s="6">
        <v>97</v>
      </c>
      <c r="M19" s="4">
        <v>88</v>
      </c>
      <c r="N19" s="4">
        <v>89</v>
      </c>
      <c r="O19" s="4">
        <v>70</v>
      </c>
      <c r="P19" s="11">
        <v>79</v>
      </c>
      <c r="Q19" s="11">
        <v>77</v>
      </c>
      <c r="R19" s="31" t="s">
        <v>193</v>
      </c>
      <c r="S19" s="31" t="s">
        <v>193</v>
      </c>
      <c r="T19" s="32" t="s">
        <v>194</v>
      </c>
      <c r="U19" s="31" t="s">
        <v>193</v>
      </c>
      <c r="V19" s="31" t="s">
        <v>193</v>
      </c>
      <c r="W19" s="31" t="s">
        <v>193</v>
      </c>
      <c r="X19" s="37" t="s">
        <v>193</v>
      </c>
      <c r="Y19" s="37" t="s">
        <v>193</v>
      </c>
    </row>
    <row r="20" spans="1:25" x14ac:dyDescent="0.25">
      <c r="A20" t="s">
        <v>18</v>
      </c>
      <c r="B20" s="1">
        <v>6382187</v>
      </c>
      <c r="C20" s="1">
        <v>7386451</v>
      </c>
      <c r="D20" s="1">
        <v>6947232</v>
      </c>
      <c r="E20" s="1">
        <v>7465730</v>
      </c>
      <c r="F20" s="1">
        <v>6744567</v>
      </c>
      <c r="G20" s="1">
        <v>7748050</v>
      </c>
      <c r="H20" s="1">
        <v>8253335</v>
      </c>
      <c r="I20" s="1">
        <v>6756300</v>
      </c>
      <c r="J20" s="6">
        <v>101</v>
      </c>
      <c r="K20" s="6">
        <v>95</v>
      </c>
      <c r="L20" s="6">
        <v>97</v>
      </c>
      <c r="M20" s="6">
        <v>94</v>
      </c>
      <c r="N20" s="4">
        <v>89</v>
      </c>
      <c r="O20" s="9">
        <v>103</v>
      </c>
      <c r="P20" s="6">
        <v>95</v>
      </c>
      <c r="Q20" s="6">
        <v>97</v>
      </c>
      <c r="R20" s="32" t="s">
        <v>194</v>
      </c>
      <c r="S20" s="32" t="s">
        <v>194</v>
      </c>
      <c r="T20" s="32" t="s">
        <v>194</v>
      </c>
      <c r="U20" s="32" t="s">
        <v>194</v>
      </c>
      <c r="V20" s="31" t="s">
        <v>193</v>
      </c>
      <c r="W20" s="35" t="s">
        <v>194</v>
      </c>
      <c r="X20" s="32" t="s">
        <v>194</v>
      </c>
      <c r="Y20" s="32" t="s">
        <v>194</v>
      </c>
    </row>
    <row r="21" spans="1:25" x14ac:dyDescent="0.25">
      <c r="A21" t="s">
        <v>19</v>
      </c>
      <c r="B21" s="1">
        <v>2420382</v>
      </c>
      <c r="C21" s="1">
        <v>2201000</v>
      </c>
      <c r="D21" s="1">
        <v>2487968</v>
      </c>
      <c r="E21" s="1">
        <v>1659783</v>
      </c>
      <c r="F21" s="1">
        <v>1713112</v>
      </c>
      <c r="G21" s="1">
        <v>2225357</v>
      </c>
      <c r="H21" s="1">
        <v>1666287</v>
      </c>
      <c r="I21" s="1">
        <v>2376303</v>
      </c>
      <c r="J21" s="4">
        <v>91</v>
      </c>
      <c r="K21" s="4">
        <v>88</v>
      </c>
      <c r="L21" s="6">
        <v>93</v>
      </c>
      <c r="M21" s="4">
        <v>76</v>
      </c>
      <c r="N21" s="4">
        <v>75</v>
      </c>
      <c r="O21" s="4">
        <v>75</v>
      </c>
      <c r="P21" s="11">
        <v>81</v>
      </c>
      <c r="Q21" s="4">
        <v>74</v>
      </c>
      <c r="R21" s="31" t="s">
        <v>193</v>
      </c>
      <c r="S21" s="31" t="s">
        <v>193</v>
      </c>
      <c r="T21" s="32" t="s">
        <v>194</v>
      </c>
      <c r="U21" s="31" t="s">
        <v>193</v>
      </c>
      <c r="V21" s="31" t="s">
        <v>193</v>
      </c>
      <c r="W21" s="31" t="s">
        <v>193</v>
      </c>
      <c r="X21" s="37" t="s">
        <v>193</v>
      </c>
      <c r="Y21" s="31" t="s">
        <v>193</v>
      </c>
    </row>
    <row r="22" spans="1:25" x14ac:dyDescent="0.25">
      <c r="A22" t="s">
        <v>20</v>
      </c>
      <c r="B22" s="1">
        <v>3250919</v>
      </c>
      <c r="C22" s="1">
        <v>3431991</v>
      </c>
      <c r="D22" s="1">
        <v>2622260</v>
      </c>
      <c r="E22" s="1">
        <v>2971835</v>
      </c>
      <c r="F22" s="1">
        <v>3388617</v>
      </c>
      <c r="G22" s="1">
        <v>4185335</v>
      </c>
      <c r="H22" s="1">
        <v>5068870</v>
      </c>
      <c r="I22" s="1">
        <v>5765879</v>
      </c>
      <c r="J22" s="4">
        <v>86</v>
      </c>
      <c r="K22" s="4">
        <v>88</v>
      </c>
      <c r="L22" s="4">
        <v>85</v>
      </c>
      <c r="M22" s="6">
        <v>89</v>
      </c>
      <c r="N22" s="10">
        <v>92</v>
      </c>
      <c r="O22" s="8">
        <v>93</v>
      </c>
      <c r="P22" s="6">
        <v>97</v>
      </c>
      <c r="Q22" s="6">
        <v>102</v>
      </c>
      <c r="R22" s="31" t="s">
        <v>193</v>
      </c>
      <c r="S22" s="31" t="s">
        <v>193</v>
      </c>
      <c r="T22" s="31" t="s">
        <v>193</v>
      </c>
      <c r="U22" s="32" t="s">
        <v>194</v>
      </c>
      <c r="V22" s="33" t="s">
        <v>194</v>
      </c>
      <c r="W22" s="36" t="s">
        <v>194</v>
      </c>
      <c r="X22" s="32" t="s">
        <v>194</v>
      </c>
      <c r="Y22" s="32" t="s">
        <v>194</v>
      </c>
    </row>
    <row r="23" spans="1:25" x14ac:dyDescent="0.25">
      <c r="A23" t="s">
        <v>21</v>
      </c>
      <c r="B23" s="1">
        <v>917126</v>
      </c>
      <c r="C23" s="1">
        <v>963674</v>
      </c>
      <c r="D23" s="1">
        <v>1078440</v>
      </c>
      <c r="E23" s="1">
        <v>1871402</v>
      </c>
      <c r="F23" s="1">
        <v>1872684</v>
      </c>
      <c r="G23" s="1">
        <v>1874731</v>
      </c>
      <c r="H23" s="1">
        <v>1294185</v>
      </c>
      <c r="I23" s="1">
        <v>1553344</v>
      </c>
      <c r="J23" s="4">
        <v>72</v>
      </c>
      <c r="K23" s="4">
        <v>67</v>
      </c>
      <c r="L23" s="4">
        <v>67</v>
      </c>
      <c r="M23" s="4">
        <v>68</v>
      </c>
      <c r="N23" s="4">
        <v>67</v>
      </c>
      <c r="O23" s="4">
        <v>62</v>
      </c>
      <c r="P23" s="11">
        <v>57</v>
      </c>
      <c r="Q23" s="4">
        <v>72</v>
      </c>
      <c r="R23" s="31" t="s">
        <v>193</v>
      </c>
      <c r="S23" s="31" t="s">
        <v>193</v>
      </c>
      <c r="T23" s="31" t="s">
        <v>193</v>
      </c>
      <c r="U23" s="31" t="s">
        <v>193</v>
      </c>
      <c r="V23" s="31" t="s">
        <v>193</v>
      </c>
      <c r="W23" s="31" t="s">
        <v>193</v>
      </c>
      <c r="X23" s="37" t="s">
        <v>193</v>
      </c>
      <c r="Y23" s="31" t="s">
        <v>193</v>
      </c>
    </row>
    <row r="24" spans="1:25" x14ac:dyDescent="0.25">
      <c r="A24" t="s">
        <v>22</v>
      </c>
      <c r="B24" s="1">
        <v>2016885</v>
      </c>
      <c r="C24" s="1">
        <v>2677825</v>
      </c>
      <c r="D24" s="1">
        <v>2539837</v>
      </c>
      <c r="E24" s="1">
        <v>2388654</v>
      </c>
      <c r="F24" s="1">
        <v>2376697</v>
      </c>
      <c r="G24" s="1">
        <v>1528454</v>
      </c>
      <c r="H24" s="1">
        <v>1453819</v>
      </c>
      <c r="I24" s="1">
        <v>1479649</v>
      </c>
      <c r="J24" s="4">
        <v>87</v>
      </c>
      <c r="K24" s="6">
        <v>82</v>
      </c>
      <c r="L24" s="6">
        <v>88</v>
      </c>
      <c r="M24" s="4">
        <v>89</v>
      </c>
      <c r="N24" s="4">
        <v>63</v>
      </c>
      <c r="O24" s="4">
        <v>75</v>
      </c>
      <c r="P24" s="11">
        <v>90</v>
      </c>
      <c r="Q24" s="6">
        <v>71</v>
      </c>
      <c r="R24" s="31" t="s">
        <v>193</v>
      </c>
      <c r="S24" s="32" t="s">
        <v>194</v>
      </c>
      <c r="T24" s="32" t="s">
        <v>194</v>
      </c>
      <c r="U24" s="31" t="s">
        <v>193</v>
      </c>
      <c r="V24" s="31" t="s">
        <v>193</v>
      </c>
      <c r="W24" s="31" t="s">
        <v>193</v>
      </c>
      <c r="X24" s="37" t="s">
        <v>193</v>
      </c>
      <c r="Y24" s="32" t="s">
        <v>194</v>
      </c>
    </row>
    <row r="25" spans="1:25" x14ac:dyDescent="0.25">
      <c r="A25" t="s">
        <v>23</v>
      </c>
      <c r="B25" s="1">
        <v>2871616</v>
      </c>
      <c r="C25" s="1">
        <v>2994078</v>
      </c>
      <c r="D25" s="1">
        <v>3479123</v>
      </c>
      <c r="E25" s="1">
        <v>3095131</v>
      </c>
      <c r="F25" s="1">
        <v>2641190</v>
      </c>
      <c r="G25" s="1">
        <v>3043017</v>
      </c>
      <c r="H25" s="1">
        <v>3522904</v>
      </c>
      <c r="I25" s="1">
        <v>4377716</v>
      </c>
      <c r="J25" s="4">
        <v>91</v>
      </c>
      <c r="K25" s="4">
        <v>75</v>
      </c>
      <c r="L25" s="4">
        <v>76</v>
      </c>
      <c r="M25" s="4">
        <v>71</v>
      </c>
      <c r="N25" s="4">
        <v>72</v>
      </c>
      <c r="O25" s="4">
        <v>88</v>
      </c>
      <c r="P25" s="9">
        <v>92</v>
      </c>
      <c r="Q25" s="4">
        <v>86</v>
      </c>
      <c r="R25" s="31" t="s">
        <v>193</v>
      </c>
      <c r="S25" s="31" t="s">
        <v>193</v>
      </c>
      <c r="T25" s="31" t="s">
        <v>193</v>
      </c>
      <c r="U25" s="31" t="s">
        <v>193</v>
      </c>
      <c r="V25" s="31" t="s">
        <v>193</v>
      </c>
      <c r="W25" s="31" t="s">
        <v>193</v>
      </c>
      <c r="X25" s="35" t="s">
        <v>194</v>
      </c>
      <c r="Y25" s="31" t="s">
        <v>193</v>
      </c>
    </row>
    <row r="26" spans="1:25" x14ac:dyDescent="0.25">
      <c r="A26" t="s">
        <v>24</v>
      </c>
      <c r="B26" s="1">
        <v>1923790</v>
      </c>
      <c r="C26" s="1">
        <v>2113280</v>
      </c>
      <c r="D26" s="1">
        <v>2801609</v>
      </c>
      <c r="E26" s="1">
        <v>3704492</v>
      </c>
      <c r="F26" s="1">
        <v>4525634</v>
      </c>
      <c r="G26" s="1">
        <v>3532292</v>
      </c>
      <c r="H26" s="1">
        <v>3089642</v>
      </c>
      <c r="I26" s="1">
        <v>2884153</v>
      </c>
      <c r="J26" s="4">
        <v>63</v>
      </c>
      <c r="K26" s="4">
        <v>69</v>
      </c>
      <c r="L26" s="4">
        <v>78</v>
      </c>
      <c r="M26" s="4">
        <v>88</v>
      </c>
      <c r="N26" s="4">
        <v>61</v>
      </c>
      <c r="O26" s="4">
        <v>85</v>
      </c>
      <c r="P26" s="11">
        <v>61</v>
      </c>
      <c r="Q26" s="11">
        <v>67</v>
      </c>
      <c r="R26" s="31" t="s">
        <v>193</v>
      </c>
      <c r="S26" s="31" t="s">
        <v>193</v>
      </c>
      <c r="T26" s="31" t="s">
        <v>193</v>
      </c>
      <c r="U26" s="31" t="s">
        <v>193</v>
      </c>
      <c r="V26" s="31" t="s">
        <v>193</v>
      </c>
      <c r="W26" s="31" t="s">
        <v>193</v>
      </c>
      <c r="X26" s="37" t="s">
        <v>193</v>
      </c>
      <c r="Y26" s="37" t="s">
        <v>193</v>
      </c>
    </row>
    <row r="27" spans="1:25" x14ac:dyDescent="0.25">
      <c r="A27" t="s">
        <v>25</v>
      </c>
      <c r="B27" s="1">
        <v>3194667</v>
      </c>
      <c r="C27" s="1">
        <v>3401334</v>
      </c>
      <c r="D27" s="1">
        <v>3775022</v>
      </c>
      <c r="E27" s="1">
        <v>3150604</v>
      </c>
      <c r="F27" s="1">
        <v>3018923</v>
      </c>
      <c r="G27" s="1">
        <v>3278830</v>
      </c>
      <c r="H27" s="1">
        <v>3741630</v>
      </c>
      <c r="I27" s="1">
        <v>3904947</v>
      </c>
      <c r="J27" s="7">
        <v>105</v>
      </c>
      <c r="K27" s="6">
        <v>100</v>
      </c>
      <c r="L27" s="10">
        <v>83</v>
      </c>
      <c r="M27" s="4">
        <v>78</v>
      </c>
      <c r="N27" s="4">
        <v>86</v>
      </c>
      <c r="O27" s="6">
        <v>91</v>
      </c>
      <c r="P27" s="11">
        <v>86</v>
      </c>
      <c r="Q27" s="9">
        <v>90</v>
      </c>
      <c r="R27" s="34" t="s">
        <v>194</v>
      </c>
      <c r="S27" s="32" t="s">
        <v>194</v>
      </c>
      <c r="T27" s="33" t="s">
        <v>194</v>
      </c>
      <c r="U27" s="31" t="s">
        <v>193</v>
      </c>
      <c r="V27" s="31" t="s">
        <v>193</v>
      </c>
      <c r="W27" s="32" t="s">
        <v>194</v>
      </c>
      <c r="X27" s="37" t="s">
        <v>193</v>
      </c>
      <c r="Y27" s="38" t="s">
        <v>194</v>
      </c>
    </row>
    <row r="28" spans="1:25" x14ac:dyDescent="0.25">
      <c r="A28" t="s">
        <v>26</v>
      </c>
      <c r="B28" s="1">
        <v>1097548</v>
      </c>
      <c r="C28" s="1">
        <v>1107040</v>
      </c>
      <c r="D28" s="1">
        <v>747536</v>
      </c>
      <c r="E28" s="1">
        <v>906041</v>
      </c>
      <c r="F28" s="1">
        <v>1458187</v>
      </c>
      <c r="G28" s="1">
        <v>2183208</v>
      </c>
      <c r="H28" s="1">
        <v>2663832</v>
      </c>
      <c r="I28" s="1">
        <v>1578983</v>
      </c>
      <c r="J28" s="4">
        <v>70</v>
      </c>
      <c r="K28" s="4">
        <v>67</v>
      </c>
      <c r="L28" s="4">
        <v>61</v>
      </c>
      <c r="M28" s="4">
        <v>66</v>
      </c>
      <c r="N28" s="7">
        <v>97</v>
      </c>
      <c r="O28" s="4">
        <v>84</v>
      </c>
      <c r="P28" s="6">
        <v>96</v>
      </c>
      <c r="Q28" s="6">
        <v>91</v>
      </c>
      <c r="R28" s="31" t="s">
        <v>193</v>
      </c>
      <c r="S28" s="31" t="s">
        <v>193</v>
      </c>
      <c r="T28" s="31" t="s">
        <v>193</v>
      </c>
      <c r="U28" s="31" t="s">
        <v>193</v>
      </c>
      <c r="V28" s="34" t="s">
        <v>194</v>
      </c>
      <c r="W28" s="31" t="s">
        <v>193</v>
      </c>
      <c r="X28" s="32" t="s">
        <v>194</v>
      </c>
      <c r="Y28" s="32" t="s">
        <v>194</v>
      </c>
    </row>
    <row r="29" spans="1:25" x14ac:dyDescent="0.25">
      <c r="A29" t="s">
        <v>27</v>
      </c>
      <c r="B29" s="1">
        <v>1625010</v>
      </c>
      <c r="C29" s="1">
        <v>1759055</v>
      </c>
      <c r="D29" s="1">
        <v>2377325</v>
      </c>
      <c r="E29" s="1">
        <v>1645626</v>
      </c>
      <c r="F29" s="1">
        <v>2334908</v>
      </c>
      <c r="G29" s="1">
        <v>2367104</v>
      </c>
      <c r="H29" s="1">
        <v>1905191</v>
      </c>
      <c r="I29" s="1">
        <v>3182733</v>
      </c>
      <c r="J29" s="4">
        <v>89</v>
      </c>
      <c r="K29" s="4">
        <v>79</v>
      </c>
      <c r="L29" s="4">
        <v>80</v>
      </c>
      <c r="M29" s="4">
        <v>75</v>
      </c>
      <c r="N29" s="4">
        <v>79</v>
      </c>
      <c r="O29" s="4">
        <v>87</v>
      </c>
      <c r="P29" s="7">
        <v>90</v>
      </c>
      <c r="Q29" s="7">
        <v>96</v>
      </c>
      <c r="R29" s="31" t="s">
        <v>193</v>
      </c>
      <c r="S29" s="31" t="s">
        <v>193</v>
      </c>
      <c r="T29" s="31" t="s">
        <v>193</v>
      </c>
      <c r="U29" s="31" t="s">
        <v>193</v>
      </c>
      <c r="V29" s="31" t="s">
        <v>193</v>
      </c>
      <c r="W29" s="31" t="s">
        <v>193</v>
      </c>
      <c r="X29" s="34" t="s">
        <v>194</v>
      </c>
      <c r="Y29" s="34" t="s">
        <v>194</v>
      </c>
    </row>
    <row r="30" spans="1:25" x14ac:dyDescent="0.25">
      <c r="A30" t="s">
        <v>28</v>
      </c>
      <c r="B30" s="1">
        <v>1635285</v>
      </c>
      <c r="C30" s="1">
        <v>1721673</v>
      </c>
      <c r="D30" s="1">
        <v>2190340</v>
      </c>
      <c r="E30" s="1">
        <v>2751604</v>
      </c>
      <c r="F30" s="1">
        <v>3621996</v>
      </c>
      <c r="G30" s="1">
        <v>2892631</v>
      </c>
      <c r="H30" s="1">
        <v>2074466</v>
      </c>
      <c r="I30" s="1">
        <v>2018316</v>
      </c>
      <c r="J30" s="4">
        <v>67</v>
      </c>
      <c r="K30" s="4">
        <v>80</v>
      </c>
      <c r="L30" s="4">
        <v>87</v>
      </c>
      <c r="M30" s="4">
        <v>83</v>
      </c>
      <c r="N30" s="4">
        <v>86</v>
      </c>
      <c r="O30" s="4">
        <v>75</v>
      </c>
      <c r="P30" s="4">
        <v>85</v>
      </c>
      <c r="Q30" s="4">
        <v>81</v>
      </c>
      <c r="R30" s="31" t="s">
        <v>193</v>
      </c>
      <c r="S30" s="31" t="s">
        <v>193</v>
      </c>
      <c r="T30" s="31" t="s">
        <v>193</v>
      </c>
      <c r="U30" s="31" t="s">
        <v>193</v>
      </c>
      <c r="V30" s="31" t="s">
        <v>193</v>
      </c>
      <c r="W30" s="31" t="s">
        <v>193</v>
      </c>
      <c r="X30" s="31" t="s">
        <v>193</v>
      </c>
      <c r="Y30" s="31" t="s">
        <v>193</v>
      </c>
    </row>
    <row r="31" spans="1:25" x14ac:dyDescent="0.25">
      <c r="A31" t="s">
        <v>29</v>
      </c>
      <c r="B31" s="1">
        <v>1226455</v>
      </c>
      <c r="C31" s="1">
        <v>1906741</v>
      </c>
      <c r="D31" s="1">
        <v>1705821</v>
      </c>
      <c r="E31" s="1">
        <v>1286872</v>
      </c>
      <c r="F31" s="1">
        <v>1895207</v>
      </c>
      <c r="G31" s="1">
        <v>2045793</v>
      </c>
      <c r="H31" s="1">
        <v>2046666</v>
      </c>
      <c r="I31" s="1">
        <v>2201963</v>
      </c>
      <c r="J31" s="4">
        <v>67</v>
      </c>
      <c r="K31" s="4">
        <v>81</v>
      </c>
      <c r="L31" s="4">
        <v>71</v>
      </c>
      <c r="M31" s="4">
        <v>73</v>
      </c>
      <c r="N31" s="4">
        <v>59</v>
      </c>
      <c r="O31" s="4">
        <v>59</v>
      </c>
      <c r="P31" s="4">
        <v>69</v>
      </c>
      <c r="Q31" s="6">
        <v>80</v>
      </c>
      <c r="R31" s="31" t="s">
        <v>193</v>
      </c>
      <c r="S31" s="31" t="s">
        <v>193</v>
      </c>
      <c r="T31" s="31" t="s">
        <v>193</v>
      </c>
      <c r="U31" s="31" t="s">
        <v>193</v>
      </c>
      <c r="V31" s="31" t="s">
        <v>193</v>
      </c>
      <c r="W31" s="31" t="s">
        <v>193</v>
      </c>
      <c r="X31" s="31" t="s">
        <v>193</v>
      </c>
      <c r="Y31" s="32" t="s">
        <v>194</v>
      </c>
    </row>
    <row r="32" spans="1:25" x14ac:dyDescent="0.25">
      <c r="L32" s="4"/>
      <c r="M32" s="4"/>
      <c r="N32" s="4"/>
      <c r="O32" s="4"/>
      <c r="P32" s="4"/>
      <c r="Q32" s="4"/>
    </row>
    <row r="33" spans="1:9" x14ac:dyDescent="0.25">
      <c r="A33" t="s">
        <v>42</v>
      </c>
      <c r="E33" s="1"/>
      <c r="F33" s="1"/>
      <c r="G33" s="1"/>
      <c r="H33" s="1"/>
      <c r="I33" s="1"/>
    </row>
    <row r="34" spans="1:9" x14ac:dyDescent="0.25">
      <c r="A34" t="s">
        <v>43</v>
      </c>
      <c r="B34" s="6">
        <v>95</v>
      </c>
    </row>
    <row r="35" spans="1:9" x14ac:dyDescent="0.25">
      <c r="A35" t="s">
        <v>44</v>
      </c>
      <c r="B35" s="7">
        <v>95</v>
      </c>
    </row>
    <row r="36" spans="1:9" x14ac:dyDescent="0.25">
      <c r="A36" t="s">
        <v>45</v>
      </c>
      <c r="B36" s="10">
        <v>95</v>
      </c>
    </row>
  </sheetData>
  <sortState ref="A2:M31">
    <sortCondition ref="A1"/>
  </sortState>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workbookViewId="0"/>
  </sheetViews>
  <sheetFormatPr defaultColWidth="30.7109375" defaultRowHeight="15" x14ac:dyDescent="0.25"/>
  <cols>
    <col min="1" max="1" width="30.7109375" style="3"/>
    <col min="2" max="16384" width="30.7109375" style="12"/>
  </cols>
  <sheetData>
    <row r="1" spans="1:20" x14ac:dyDescent="0.25">
      <c r="A1" s="3" t="s">
        <v>60</v>
      </c>
      <c r="B1" s="12" t="s">
        <v>61</v>
      </c>
      <c r="C1" s="12" t="s">
        <v>51</v>
      </c>
      <c r="D1" s="12">
        <v>6</v>
      </c>
      <c r="E1" s="12" t="s">
        <v>52</v>
      </c>
      <c r="F1" s="12">
        <v>0</v>
      </c>
      <c r="G1" s="12" t="s">
        <v>53</v>
      </c>
      <c r="H1" s="12">
        <v>0</v>
      </c>
      <c r="I1" s="12" t="s">
        <v>54</v>
      </c>
      <c r="J1" s="12">
        <v>1</v>
      </c>
      <c r="K1" s="12" t="s">
        <v>55</v>
      </c>
      <c r="L1" s="12">
        <v>0</v>
      </c>
      <c r="M1" s="12" t="s">
        <v>56</v>
      </c>
      <c r="N1" s="12">
        <v>0</v>
      </c>
      <c r="O1" s="12" t="s">
        <v>57</v>
      </c>
      <c r="P1" s="12">
        <v>1</v>
      </c>
      <c r="Q1" s="12" t="s">
        <v>58</v>
      </c>
      <c r="R1" s="12">
        <v>0</v>
      </c>
      <c r="S1" s="12" t="s">
        <v>59</v>
      </c>
      <c r="T1" s="12">
        <v>0</v>
      </c>
    </row>
    <row r="2" spans="1:20" x14ac:dyDescent="0.25">
      <c r="A2" s="3" t="s">
        <v>62</v>
      </c>
      <c r="B2" s="12" t="s">
        <v>63</v>
      </c>
    </row>
    <row r="3" spans="1:20" x14ac:dyDescent="0.25">
      <c r="A3" s="3" t="s">
        <v>64</v>
      </c>
      <c r="B3" s="12" t="b">
        <f>IF(B10&gt;256,"TripUpST110AndEarlier",FALSE)</f>
        <v>0</v>
      </c>
    </row>
    <row r="4" spans="1:20" x14ac:dyDescent="0.25">
      <c r="A4" s="3" t="s">
        <v>65</v>
      </c>
      <c r="B4" s="12" t="s">
        <v>66</v>
      </c>
    </row>
    <row r="5" spans="1:20" x14ac:dyDescent="0.25">
      <c r="A5" s="3" t="s">
        <v>67</v>
      </c>
      <c r="B5" s="12" t="b">
        <v>1</v>
      </c>
    </row>
    <row r="6" spans="1:20" x14ac:dyDescent="0.25">
      <c r="A6" s="3" t="s">
        <v>68</v>
      </c>
      <c r="B6" s="12" t="b">
        <v>1</v>
      </c>
    </row>
    <row r="7" spans="1:20" x14ac:dyDescent="0.25">
      <c r="A7" s="3" t="s">
        <v>69</v>
      </c>
      <c r="B7" s="12">
        <f>Data!$A$1:$Q$31</f>
        <v>2567749</v>
      </c>
    </row>
    <row r="8" spans="1:20" x14ac:dyDescent="0.25">
      <c r="A8" s="3" t="s">
        <v>70</v>
      </c>
      <c r="B8" s="12">
        <v>1</v>
      </c>
    </row>
    <row r="9" spans="1:20" x14ac:dyDescent="0.25">
      <c r="A9" s="3" t="s">
        <v>71</v>
      </c>
      <c r="B9" s="12">
        <f>1</f>
        <v>1</v>
      </c>
    </row>
    <row r="10" spans="1:20" x14ac:dyDescent="0.25">
      <c r="A10" s="3" t="s">
        <v>72</v>
      </c>
      <c r="B10" s="12">
        <v>17</v>
      </c>
    </row>
    <row r="12" spans="1:20" x14ac:dyDescent="0.25">
      <c r="A12" s="3" t="s">
        <v>73</v>
      </c>
      <c r="B12" s="12" t="s">
        <v>74</v>
      </c>
      <c r="C12" s="12" t="s">
        <v>75</v>
      </c>
      <c r="D12" s="12" t="s">
        <v>76</v>
      </c>
      <c r="E12" s="12" t="b">
        <v>1</v>
      </c>
      <c r="F12" s="12">
        <v>0</v>
      </c>
      <c r="G12" s="12">
        <v>4</v>
      </c>
    </row>
    <row r="13" spans="1:20" x14ac:dyDescent="0.25">
      <c r="A13" s="3" t="s">
        <v>77</v>
      </c>
      <c r="B13" s="12" t="str">
        <f>Data!$A$1:$A$31</f>
        <v>Kansas City Royals</v>
      </c>
    </row>
    <row r="14" spans="1:20" x14ac:dyDescent="0.25">
      <c r="A14" s="3" t="s">
        <v>78</v>
      </c>
    </row>
    <row r="15" spans="1:20" x14ac:dyDescent="0.25">
      <c r="A15" s="3" t="s">
        <v>79</v>
      </c>
      <c r="B15" s="12" t="s">
        <v>80</v>
      </c>
      <c r="C15" s="12" t="s">
        <v>81</v>
      </c>
      <c r="D15" s="12" t="s">
        <v>82</v>
      </c>
      <c r="E15" s="12" t="b">
        <v>1</v>
      </c>
      <c r="F15" s="12">
        <v>0</v>
      </c>
      <c r="G15" s="12">
        <v>4</v>
      </c>
    </row>
    <row r="16" spans="1:20" x14ac:dyDescent="0.25">
      <c r="A16" s="3" t="s">
        <v>83</v>
      </c>
      <c r="B16" s="12">
        <f>Data!$B$1:$B$31</f>
        <v>2114487</v>
      </c>
    </row>
    <row r="17" spans="1:7" x14ac:dyDescent="0.25">
      <c r="A17" s="3" t="s">
        <v>84</v>
      </c>
    </row>
    <row r="18" spans="1:7" x14ac:dyDescent="0.25">
      <c r="A18" s="3" t="s">
        <v>85</v>
      </c>
      <c r="B18" s="12" t="s">
        <v>86</v>
      </c>
      <c r="C18" s="12" t="s">
        <v>87</v>
      </c>
      <c r="D18" s="12" t="s">
        <v>88</v>
      </c>
      <c r="E18" s="12" t="b">
        <v>1</v>
      </c>
      <c r="F18" s="12">
        <v>0</v>
      </c>
      <c r="G18" s="12">
        <v>4</v>
      </c>
    </row>
    <row r="19" spans="1:7" x14ac:dyDescent="0.25">
      <c r="A19" s="3" t="s">
        <v>89</v>
      </c>
      <c r="B19" s="12">
        <f>Data!$C$1:$C$31</f>
        <v>3339685</v>
      </c>
    </row>
    <row r="20" spans="1:7" x14ac:dyDescent="0.25">
      <c r="A20" s="3" t="s">
        <v>90</v>
      </c>
    </row>
    <row r="21" spans="1:7" x14ac:dyDescent="0.25">
      <c r="A21" s="3" t="s">
        <v>91</v>
      </c>
      <c r="B21" s="12" t="s">
        <v>92</v>
      </c>
      <c r="C21" s="12" t="s">
        <v>93</v>
      </c>
      <c r="D21" s="12" t="s">
        <v>94</v>
      </c>
      <c r="E21" s="12" t="b">
        <v>1</v>
      </c>
      <c r="F21" s="12">
        <v>0</v>
      </c>
      <c r="G21" s="12">
        <v>4</v>
      </c>
    </row>
    <row r="22" spans="1:7" x14ac:dyDescent="0.25">
      <c r="A22" s="3" t="s">
        <v>95</v>
      </c>
      <c r="B22" s="12">
        <f>Data!$D$1:$D$31</f>
        <v>2622260</v>
      </c>
    </row>
    <row r="23" spans="1:7" x14ac:dyDescent="0.25">
      <c r="A23" s="3" t="s">
        <v>96</v>
      </c>
    </row>
    <row r="24" spans="1:7" x14ac:dyDescent="0.25">
      <c r="A24" s="3" t="s">
        <v>97</v>
      </c>
      <c r="B24" s="12" t="s">
        <v>98</v>
      </c>
      <c r="C24" s="12" t="s">
        <v>99</v>
      </c>
      <c r="D24" s="12" t="s">
        <v>100</v>
      </c>
      <c r="E24" s="12" t="b">
        <v>1</v>
      </c>
      <c r="F24" s="12">
        <v>0</v>
      </c>
      <c r="G24" s="12">
        <v>4</v>
      </c>
    </row>
    <row r="25" spans="1:7" x14ac:dyDescent="0.25">
      <c r="A25" s="3" t="s">
        <v>101</v>
      </c>
      <c r="B25" s="12">
        <f>Data!$E$1:$E$31</f>
        <v>3095131</v>
      </c>
    </row>
    <row r="26" spans="1:7" x14ac:dyDescent="0.25">
      <c r="A26" s="3" t="s">
        <v>102</v>
      </c>
    </row>
    <row r="27" spans="1:7" x14ac:dyDescent="0.25">
      <c r="A27" s="3" t="s">
        <v>103</v>
      </c>
      <c r="B27" s="12" t="s">
        <v>104</v>
      </c>
      <c r="C27" s="12" t="s">
        <v>105</v>
      </c>
      <c r="D27" s="12" t="s">
        <v>106</v>
      </c>
      <c r="E27" s="12" t="b">
        <v>1</v>
      </c>
      <c r="F27" s="12">
        <v>0</v>
      </c>
      <c r="G27" s="12">
        <v>4</v>
      </c>
    </row>
    <row r="28" spans="1:7" x14ac:dyDescent="0.25">
      <c r="A28" s="3" t="s">
        <v>107</v>
      </c>
      <c r="B28" s="12">
        <f>Data!$F$1:$F$31</f>
        <v>1458187</v>
      </c>
    </row>
    <row r="29" spans="1:7" x14ac:dyDescent="0.25">
      <c r="A29" s="3" t="s">
        <v>108</v>
      </c>
    </row>
    <row r="30" spans="1:7" x14ac:dyDescent="0.25">
      <c r="A30" s="3" t="s">
        <v>109</v>
      </c>
      <c r="B30" s="12" t="s">
        <v>110</v>
      </c>
      <c r="C30" s="12" t="s">
        <v>111</v>
      </c>
      <c r="D30" s="12" t="s">
        <v>112</v>
      </c>
      <c r="E30" s="12" t="b">
        <v>1</v>
      </c>
      <c r="F30" s="12">
        <v>0</v>
      </c>
      <c r="G30" s="12">
        <v>4</v>
      </c>
    </row>
    <row r="31" spans="1:7" x14ac:dyDescent="0.25">
      <c r="A31" s="3" t="s">
        <v>113</v>
      </c>
      <c r="B31" s="12">
        <f>Data!$G$1:$G$31</f>
        <v>2045793</v>
      </c>
    </row>
    <row r="32" spans="1:7" x14ac:dyDescent="0.25">
      <c r="A32" s="3" t="s">
        <v>114</v>
      </c>
    </row>
    <row r="33" spans="1:7" x14ac:dyDescent="0.25">
      <c r="A33" s="3" t="s">
        <v>115</v>
      </c>
      <c r="B33" s="12" t="s">
        <v>116</v>
      </c>
      <c r="C33" s="12" t="s">
        <v>117</v>
      </c>
      <c r="D33" s="12" t="s">
        <v>118</v>
      </c>
      <c r="E33" s="12" t="b">
        <v>1</v>
      </c>
      <c r="F33" s="12">
        <v>0</v>
      </c>
      <c r="G33" s="12">
        <v>4</v>
      </c>
    </row>
    <row r="34" spans="1:7" x14ac:dyDescent="0.25">
      <c r="A34" s="3" t="s">
        <v>119</v>
      </c>
      <c r="B34" s="12" t="e">
        <f>Data!$H$1:$H$31</f>
        <v>#VALUE!</v>
      </c>
    </row>
    <row r="35" spans="1:7" x14ac:dyDescent="0.25">
      <c r="A35" s="3" t="s">
        <v>120</v>
      </c>
    </row>
    <row r="36" spans="1:7" x14ac:dyDescent="0.25">
      <c r="A36" s="3" t="s">
        <v>121</v>
      </c>
      <c r="B36" s="12" t="s">
        <v>122</v>
      </c>
      <c r="C36" s="12" t="s">
        <v>123</v>
      </c>
      <c r="D36" s="12" t="s">
        <v>124</v>
      </c>
      <c r="E36" s="12" t="b">
        <v>1</v>
      </c>
      <c r="F36" s="12">
        <v>0</v>
      </c>
      <c r="G36" s="12">
        <v>4</v>
      </c>
    </row>
    <row r="37" spans="1:7" x14ac:dyDescent="0.25">
      <c r="A37" s="3" t="s">
        <v>125</v>
      </c>
      <c r="B37" s="12" t="e">
        <f>Data!$I$1:$I$31</f>
        <v>#VALUE!</v>
      </c>
    </row>
    <row r="38" spans="1:7" x14ac:dyDescent="0.25">
      <c r="A38" s="3" t="s">
        <v>126</v>
      </c>
    </row>
    <row r="39" spans="1:7" x14ac:dyDescent="0.25">
      <c r="A39" s="3" t="s">
        <v>127</v>
      </c>
      <c r="B39" s="12" t="s">
        <v>128</v>
      </c>
      <c r="C39" s="12" t="s">
        <v>129</v>
      </c>
      <c r="D39" s="12" t="s">
        <v>130</v>
      </c>
      <c r="E39" s="12" t="b">
        <v>1</v>
      </c>
      <c r="F39" s="12">
        <v>0</v>
      </c>
      <c r="G39" s="12">
        <v>4</v>
      </c>
    </row>
    <row r="40" spans="1:7" x14ac:dyDescent="0.25">
      <c r="A40" s="3" t="s">
        <v>131</v>
      </c>
      <c r="B40" s="13" t="e">
        <f>Data!$J$1:$J$31</f>
        <v>#VALUE!</v>
      </c>
    </row>
    <row r="41" spans="1:7" x14ac:dyDescent="0.25">
      <c r="A41" s="3" t="s">
        <v>132</v>
      </c>
    </row>
    <row r="42" spans="1:7" x14ac:dyDescent="0.25">
      <c r="A42" s="3" t="s">
        <v>133</v>
      </c>
      <c r="B42" s="12" t="s">
        <v>134</v>
      </c>
      <c r="C42" s="12" t="s">
        <v>135</v>
      </c>
      <c r="D42" s="12" t="s">
        <v>136</v>
      </c>
      <c r="E42" s="12" t="b">
        <v>1</v>
      </c>
      <c r="F42" s="12">
        <v>0</v>
      </c>
      <c r="G42" s="12">
        <v>4</v>
      </c>
    </row>
    <row r="43" spans="1:7" x14ac:dyDescent="0.25">
      <c r="A43" s="3" t="s">
        <v>137</v>
      </c>
      <c r="B43" s="13" t="e">
        <f>Data!$K$1:$K$31</f>
        <v>#VALUE!</v>
      </c>
    </row>
    <row r="44" spans="1:7" x14ac:dyDescent="0.25">
      <c r="A44" s="3" t="s">
        <v>138</v>
      </c>
    </row>
    <row r="45" spans="1:7" x14ac:dyDescent="0.25">
      <c r="A45" s="3" t="s">
        <v>139</v>
      </c>
      <c r="B45" s="12" t="s">
        <v>140</v>
      </c>
      <c r="C45" s="12" t="s">
        <v>141</v>
      </c>
      <c r="D45" s="12" t="s">
        <v>142</v>
      </c>
      <c r="E45" s="12" t="b">
        <v>1</v>
      </c>
      <c r="F45" s="12">
        <v>0</v>
      </c>
      <c r="G45" s="12">
        <v>4</v>
      </c>
    </row>
    <row r="46" spans="1:7" x14ac:dyDescent="0.25">
      <c r="A46" s="3" t="s">
        <v>143</v>
      </c>
      <c r="B46" s="13" t="e">
        <f>Data!$L$1:$L$31</f>
        <v>#VALUE!</v>
      </c>
    </row>
    <row r="47" spans="1:7" x14ac:dyDescent="0.25">
      <c r="A47" s="3" t="s">
        <v>144</v>
      </c>
    </row>
    <row r="48" spans="1:7" x14ac:dyDescent="0.25">
      <c r="A48" s="3" t="s">
        <v>145</v>
      </c>
      <c r="B48" s="12" t="s">
        <v>146</v>
      </c>
      <c r="C48" s="12" t="s">
        <v>147</v>
      </c>
      <c r="D48" s="12" t="s">
        <v>148</v>
      </c>
      <c r="E48" s="12" t="b">
        <v>1</v>
      </c>
      <c r="F48" s="12">
        <v>0</v>
      </c>
      <c r="G48" s="12">
        <v>4</v>
      </c>
    </row>
    <row r="49" spans="1:7" x14ac:dyDescent="0.25">
      <c r="A49" s="3" t="s">
        <v>149</v>
      </c>
      <c r="B49" s="13" t="e">
        <f>Data!$M$1:$M$31</f>
        <v>#VALUE!</v>
      </c>
    </row>
    <row r="50" spans="1:7" x14ac:dyDescent="0.25">
      <c r="A50" s="3" t="s">
        <v>150</v>
      </c>
    </row>
    <row r="51" spans="1:7" x14ac:dyDescent="0.25">
      <c r="A51" s="3" t="s">
        <v>151</v>
      </c>
      <c r="B51" s="12" t="s">
        <v>152</v>
      </c>
      <c r="C51" s="12" t="s">
        <v>153</v>
      </c>
      <c r="D51" s="12" t="s">
        <v>154</v>
      </c>
      <c r="E51" s="12" t="b">
        <v>1</v>
      </c>
      <c r="F51" s="12">
        <v>0</v>
      </c>
      <c r="G51" s="12">
        <v>4</v>
      </c>
    </row>
    <row r="52" spans="1:7" x14ac:dyDescent="0.25">
      <c r="A52" s="3" t="s">
        <v>155</v>
      </c>
      <c r="B52" s="13" t="e">
        <f>Data!$N$1:$N$31</f>
        <v>#VALUE!</v>
      </c>
    </row>
    <row r="53" spans="1:7" x14ac:dyDescent="0.25">
      <c r="A53" s="3" t="s">
        <v>156</v>
      </c>
    </row>
    <row r="54" spans="1:7" x14ac:dyDescent="0.25">
      <c r="A54" s="3" t="s">
        <v>157</v>
      </c>
      <c r="B54" s="12" t="s">
        <v>158</v>
      </c>
      <c r="C54" s="12" t="s">
        <v>159</v>
      </c>
      <c r="D54" s="12" t="s">
        <v>160</v>
      </c>
      <c r="E54" s="12" t="b">
        <v>1</v>
      </c>
      <c r="F54" s="12">
        <v>0</v>
      </c>
      <c r="G54" s="12">
        <v>4</v>
      </c>
    </row>
    <row r="55" spans="1:7" x14ac:dyDescent="0.25">
      <c r="A55" s="3" t="s">
        <v>161</v>
      </c>
      <c r="B55" s="13" t="e">
        <f>Data!$O$1:$O$31</f>
        <v>#VALUE!</v>
      </c>
    </row>
    <row r="56" spans="1:7" x14ac:dyDescent="0.25">
      <c r="A56" s="3" t="s">
        <v>162</v>
      </c>
    </row>
    <row r="57" spans="1:7" x14ac:dyDescent="0.25">
      <c r="A57" s="3" t="s">
        <v>163</v>
      </c>
      <c r="B57" s="12" t="s">
        <v>164</v>
      </c>
      <c r="C57" s="12" t="s">
        <v>165</v>
      </c>
      <c r="D57" s="12" t="s">
        <v>166</v>
      </c>
      <c r="E57" s="12" t="b">
        <v>1</v>
      </c>
      <c r="F57" s="12">
        <v>0</v>
      </c>
      <c r="G57" s="12">
        <v>4</v>
      </c>
    </row>
    <row r="58" spans="1:7" x14ac:dyDescent="0.25">
      <c r="A58" s="3" t="s">
        <v>167</v>
      </c>
      <c r="B58" s="13" t="e">
        <f>Data!$P$1:$P$31</f>
        <v>#VALUE!</v>
      </c>
    </row>
    <row r="59" spans="1:7" x14ac:dyDescent="0.25">
      <c r="A59" s="3" t="s">
        <v>168</v>
      </c>
    </row>
    <row r="60" spans="1:7" x14ac:dyDescent="0.25">
      <c r="A60" s="3" t="s">
        <v>169</v>
      </c>
      <c r="B60" s="12" t="s">
        <v>170</v>
      </c>
      <c r="C60" s="12" t="s">
        <v>171</v>
      </c>
      <c r="D60" s="12" t="s">
        <v>172</v>
      </c>
      <c r="E60" s="12" t="b">
        <v>1</v>
      </c>
      <c r="F60" s="12">
        <v>0</v>
      </c>
      <c r="G60" s="12">
        <v>4</v>
      </c>
    </row>
    <row r="61" spans="1:7" x14ac:dyDescent="0.25">
      <c r="A61" s="3" t="s">
        <v>173</v>
      </c>
      <c r="B61" s="13" t="e">
        <f>Data!$Q$1:$Q$31</f>
        <v>#VALUE!</v>
      </c>
    </row>
    <row r="62" spans="1:7" x14ac:dyDescent="0.25">
      <c r="A62" s="3" t="s">
        <v>174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ColWidth="12.7109375" defaultRowHeight="15" x14ac:dyDescent="0.25"/>
  <cols>
    <col min="1" max="1" width="13" bestFit="1" customWidth="1"/>
    <col min="2" max="9" width="12.7109375" customWidth="1"/>
  </cols>
  <sheetData>
    <row r="1" spans="1:9" s="14" customFormat="1" ht="18.75" x14ac:dyDescent="0.3">
      <c r="A1" s="20" t="s">
        <v>175</v>
      </c>
      <c r="B1" s="18"/>
    </row>
    <row r="2" spans="1:9" s="14" customFormat="1" ht="11.25" x14ac:dyDescent="0.2">
      <c r="A2" s="16" t="s">
        <v>176</v>
      </c>
      <c r="B2" s="18" t="s">
        <v>177</v>
      </c>
    </row>
    <row r="3" spans="1:9" s="14" customFormat="1" ht="11.25" x14ac:dyDescent="0.2">
      <c r="A3" s="16" t="s">
        <v>178</v>
      </c>
      <c r="B3" s="18" t="s">
        <v>179</v>
      </c>
    </row>
    <row r="4" spans="1:9" s="14" customFormat="1" ht="11.25" x14ac:dyDescent="0.2">
      <c r="A4" s="16" t="s">
        <v>180</v>
      </c>
      <c r="B4" s="18" t="s">
        <v>181</v>
      </c>
    </row>
    <row r="5" spans="1:9" s="15" customFormat="1" ht="11.25" x14ac:dyDescent="0.2">
      <c r="A5" s="17" t="s">
        <v>182</v>
      </c>
      <c r="B5" s="19" t="s">
        <v>183</v>
      </c>
    </row>
    <row r="7" spans="1:9" x14ac:dyDescent="0.25">
      <c r="A7" s="25"/>
      <c r="B7" s="22" t="s">
        <v>36</v>
      </c>
      <c r="C7" s="22" t="s">
        <v>37</v>
      </c>
      <c r="D7" s="22" t="s">
        <v>38</v>
      </c>
      <c r="E7" s="22" t="s">
        <v>39</v>
      </c>
      <c r="F7" s="22" t="s">
        <v>40</v>
      </c>
      <c r="G7" s="22" t="s">
        <v>41</v>
      </c>
      <c r="H7" s="22" t="s">
        <v>49</v>
      </c>
      <c r="I7" s="22" t="s">
        <v>50</v>
      </c>
    </row>
    <row r="8" spans="1:9" ht="15.75" thickBot="1" x14ac:dyDescent="0.3">
      <c r="A8" s="26" t="s">
        <v>184</v>
      </c>
      <c r="B8" s="23" t="s">
        <v>61</v>
      </c>
      <c r="C8" s="23" t="s">
        <v>61</v>
      </c>
      <c r="D8" s="23" t="s">
        <v>61</v>
      </c>
      <c r="E8" s="23" t="s">
        <v>61</v>
      </c>
      <c r="F8" s="23" t="s">
        <v>61</v>
      </c>
      <c r="G8" s="23" t="s">
        <v>61</v>
      </c>
      <c r="H8" s="23" t="s">
        <v>61</v>
      </c>
      <c r="I8" s="23" t="s">
        <v>61</v>
      </c>
    </row>
    <row r="9" spans="1:9" ht="15.75" thickTop="1" x14ac:dyDescent="0.25">
      <c r="A9" s="24" t="s">
        <v>36</v>
      </c>
      <c r="B9" s="27">
        <v>1</v>
      </c>
      <c r="C9" s="27"/>
      <c r="D9" s="27"/>
      <c r="E9" s="27"/>
      <c r="F9" s="27"/>
      <c r="G9" s="27"/>
      <c r="H9" s="27"/>
      <c r="I9" s="27"/>
    </row>
    <row r="10" spans="1:9" x14ac:dyDescent="0.25">
      <c r="A10" s="24" t="s">
        <v>37</v>
      </c>
      <c r="B10" s="27">
        <f>_xll.StatCorrelationCoeff( ST_Wins2005,ST_Wins2004)</f>
        <v>0.66293547870822978</v>
      </c>
      <c r="C10" s="27">
        <v>1</v>
      </c>
      <c r="D10" s="27"/>
      <c r="E10" s="27"/>
      <c r="F10" s="27"/>
      <c r="G10" s="27"/>
      <c r="H10" s="27"/>
      <c r="I10" s="27"/>
    </row>
    <row r="11" spans="1:9" x14ac:dyDescent="0.25">
      <c r="A11" s="24" t="s">
        <v>38</v>
      </c>
      <c r="B11" s="27">
        <f>_xll.StatCorrelationCoeff( ST_Wins2006,ST_Wins2004)</f>
        <v>0.43475948643289297</v>
      </c>
      <c r="C11" s="27">
        <f>_xll.StatCorrelationCoeff( ST_Wins2006,ST_Wins2005)</f>
        <v>0.55013297785061144</v>
      </c>
      <c r="D11" s="27">
        <v>1</v>
      </c>
      <c r="E11" s="27"/>
      <c r="F11" s="27"/>
      <c r="G11" s="27"/>
      <c r="H11" s="27"/>
      <c r="I11" s="27"/>
    </row>
    <row r="12" spans="1:9" x14ac:dyDescent="0.25">
      <c r="A12" s="24" t="s">
        <v>39</v>
      </c>
      <c r="B12" s="27">
        <f>_xll.StatCorrelationCoeff( ST_Wins2007,ST_Wins2004)</f>
        <v>0.12333908940234696</v>
      </c>
      <c r="C12" s="27">
        <f>_xll.StatCorrelationCoeff( ST_Wins2007,ST_Wins2005)</f>
        <v>0.37882373450656392</v>
      </c>
      <c r="D12" s="27">
        <f>_xll.StatCorrelationCoeff( ST_Wins2007,ST_Wins2006)</f>
        <v>0.47504341228998404</v>
      </c>
      <c r="E12" s="27">
        <v>1</v>
      </c>
      <c r="F12" s="27"/>
      <c r="G12" s="27"/>
      <c r="H12" s="27"/>
      <c r="I12" s="27"/>
    </row>
    <row r="13" spans="1:9" x14ac:dyDescent="0.25">
      <c r="A13" s="24" t="s">
        <v>40</v>
      </c>
      <c r="B13" s="27">
        <f>_xll.StatCorrelationCoeff( ST_Wins2008,ST_Wins2004)</f>
        <v>0.31331846724714263</v>
      </c>
      <c r="C13" s="27">
        <f>_xll.StatCorrelationCoeff( ST_Wins2008,ST_Wins2005)</f>
        <v>0.42750303101631859</v>
      </c>
      <c r="D13" s="27">
        <f>_xll.StatCorrelationCoeff( ST_Wins2008,ST_Wins2006)</f>
        <v>0.21004335125784632</v>
      </c>
      <c r="E13" s="27">
        <f>_xll.StatCorrelationCoeff( ST_Wins2008,ST_Wins2007)</f>
        <v>0.25152111671912947</v>
      </c>
      <c r="F13" s="27">
        <v>1</v>
      </c>
      <c r="G13" s="27"/>
      <c r="H13" s="27"/>
      <c r="I13" s="27"/>
    </row>
    <row r="14" spans="1:9" x14ac:dyDescent="0.25">
      <c r="A14" s="24" t="s">
        <v>41</v>
      </c>
      <c r="B14" s="27">
        <f>_xll.StatCorrelationCoeff( ST_Wins2009,ST_Wins2004)</f>
        <v>0.57992598780133875</v>
      </c>
      <c r="C14" s="27">
        <f>_xll.StatCorrelationCoeff( ST_Wins2009,ST_Wins2005)</f>
        <v>0.30171738997102704</v>
      </c>
      <c r="D14" s="27">
        <f>_xll.StatCorrelationCoeff( ST_Wins2009,ST_Wins2006)</f>
        <v>0.41506906813300887</v>
      </c>
      <c r="E14" s="27">
        <f>_xll.StatCorrelationCoeff( ST_Wins2009,ST_Wins2007)</f>
        <v>0.38762081987435426</v>
      </c>
      <c r="F14" s="27">
        <f>_xll.StatCorrelationCoeff( ST_Wins2009,ST_Wins2008)</f>
        <v>0.48175216277901683</v>
      </c>
      <c r="G14" s="27">
        <v>1</v>
      </c>
      <c r="H14" s="27"/>
      <c r="I14" s="27"/>
    </row>
    <row r="15" spans="1:9" x14ac:dyDescent="0.25">
      <c r="A15" s="24" t="s">
        <v>49</v>
      </c>
      <c r="B15" s="27">
        <f>_xll.StatCorrelationCoeff( ST_Wins2010,ST_Wins2004)</f>
        <v>0.55624660761673728</v>
      </c>
      <c r="C15" s="27">
        <f>_xll.StatCorrelationCoeff( ST_Wins2010,ST_Wins2005)</f>
        <v>0.36817676234866176</v>
      </c>
      <c r="D15" s="27">
        <f>_xll.StatCorrelationCoeff( ST_Wins2010,ST_Wins2006)</f>
        <v>0.43720177052117321</v>
      </c>
      <c r="E15" s="27">
        <f>_xll.StatCorrelationCoeff( ST_Wins2010,ST_Wins2007)</f>
        <v>8.2096685420727705E-2</v>
      </c>
      <c r="F15" s="27">
        <f>_xll.StatCorrelationCoeff( ST_Wins2010,ST_Wins2008)</f>
        <v>0.40815884829358229</v>
      </c>
      <c r="G15" s="27">
        <f>_xll.StatCorrelationCoeff( ST_Wins2010,ST_Wins2009)</f>
        <v>0.64834075489355592</v>
      </c>
      <c r="H15" s="27">
        <v>1</v>
      </c>
      <c r="I15" s="27"/>
    </row>
    <row r="16" spans="1:9" x14ac:dyDescent="0.25">
      <c r="A16" s="24" t="s">
        <v>50</v>
      </c>
      <c r="B16" s="27">
        <f>_xll.StatCorrelationCoeff( ST_Wins2011,ST_Wins2004)</f>
        <v>8.8457030995301444E-2</v>
      </c>
      <c r="C16" s="27">
        <f>_xll.StatCorrelationCoeff( ST_Wins2011,ST_Wins2005)</f>
        <v>0.22723556394809385</v>
      </c>
      <c r="D16" s="27">
        <f>_xll.StatCorrelationCoeff( ST_Wins2011,ST_Wins2006)</f>
        <v>0.12760102207475452</v>
      </c>
      <c r="E16" s="27">
        <f>_xll.StatCorrelationCoeff( ST_Wins2011,ST_Wins2007)</f>
        <v>0.3169193686073753</v>
      </c>
      <c r="F16" s="27">
        <f>_xll.StatCorrelationCoeff( ST_Wins2011,ST_Wins2008)</f>
        <v>0.3108944822282772</v>
      </c>
      <c r="G16" s="27">
        <f>_xll.StatCorrelationCoeff( ST_Wins2011,ST_Wins2009)</f>
        <v>0.42240375364011512</v>
      </c>
      <c r="H16" s="27">
        <f>_xll.StatCorrelationCoeff( ST_Wins2011,ST_Wins2010)</f>
        <v>0.40927372032656684</v>
      </c>
      <c r="I16" s="27">
        <v>1</v>
      </c>
    </row>
  </sheetData>
  <pageMargins left="0.7" right="0.7" top="0.75" bottom="0.75" header="0.3" footer="0.3"/>
  <pageSetup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ColWidth="12.7109375" defaultRowHeight="15" x14ac:dyDescent="0.25"/>
  <cols>
    <col min="1" max="1" width="13" bestFit="1" customWidth="1"/>
    <col min="2" max="9" width="12.7109375" customWidth="1"/>
  </cols>
  <sheetData>
    <row r="1" spans="1:9" s="14" customFormat="1" ht="18.75" x14ac:dyDescent="0.3">
      <c r="A1" s="20" t="s">
        <v>175</v>
      </c>
      <c r="B1" s="18"/>
    </row>
    <row r="2" spans="1:9" s="14" customFormat="1" ht="11.25" x14ac:dyDescent="0.2">
      <c r="A2" s="16" t="s">
        <v>176</v>
      </c>
      <c r="B2" s="18" t="s">
        <v>177</v>
      </c>
    </row>
    <row r="3" spans="1:9" s="14" customFormat="1" ht="11.25" x14ac:dyDescent="0.2">
      <c r="A3" s="16" t="s">
        <v>178</v>
      </c>
      <c r="B3" s="18" t="s">
        <v>179</v>
      </c>
    </row>
    <row r="4" spans="1:9" s="14" customFormat="1" ht="11.25" x14ac:dyDescent="0.2">
      <c r="A4" s="16" t="s">
        <v>180</v>
      </c>
      <c r="B4" s="18" t="s">
        <v>181</v>
      </c>
    </row>
    <row r="5" spans="1:9" s="15" customFormat="1" ht="11.25" x14ac:dyDescent="0.2">
      <c r="A5" s="17" t="s">
        <v>182</v>
      </c>
      <c r="B5" s="19" t="s">
        <v>183</v>
      </c>
    </row>
    <row r="7" spans="1:9" x14ac:dyDescent="0.25">
      <c r="A7" s="25"/>
      <c r="B7" s="22" t="s">
        <v>30</v>
      </c>
      <c r="C7" s="22" t="s">
        <v>31</v>
      </c>
      <c r="D7" s="22" t="s">
        <v>32</v>
      </c>
      <c r="E7" s="22" t="s">
        <v>33</v>
      </c>
      <c r="F7" s="22" t="s">
        <v>34</v>
      </c>
      <c r="G7" s="22" t="s">
        <v>35</v>
      </c>
      <c r="H7" s="22" t="s">
        <v>47</v>
      </c>
      <c r="I7" s="22" t="s">
        <v>48</v>
      </c>
    </row>
    <row r="8" spans="1:9" ht="15.75" thickBot="1" x14ac:dyDescent="0.3">
      <c r="A8" s="26" t="s">
        <v>184</v>
      </c>
      <c r="B8" s="23" t="s">
        <v>61</v>
      </c>
      <c r="C8" s="23" t="s">
        <v>61</v>
      </c>
      <c r="D8" s="23" t="s">
        <v>61</v>
      </c>
      <c r="E8" s="23" t="s">
        <v>61</v>
      </c>
      <c r="F8" s="23" t="s">
        <v>61</v>
      </c>
      <c r="G8" s="23" t="s">
        <v>61</v>
      </c>
      <c r="H8" s="23" t="s">
        <v>61</v>
      </c>
      <c r="I8" s="23" t="s">
        <v>61</v>
      </c>
    </row>
    <row r="9" spans="1:9" ht="15.75" thickTop="1" x14ac:dyDescent="0.25">
      <c r="A9" s="24" t="s">
        <v>30</v>
      </c>
      <c r="B9" s="27">
        <v>1</v>
      </c>
      <c r="C9" s="27"/>
      <c r="D9" s="27"/>
      <c r="E9" s="27"/>
      <c r="F9" s="27"/>
      <c r="G9" s="27"/>
      <c r="H9" s="27"/>
      <c r="I9" s="27"/>
    </row>
    <row r="10" spans="1:9" x14ac:dyDescent="0.25">
      <c r="A10" s="24" t="s">
        <v>31</v>
      </c>
      <c r="B10" s="27">
        <f>_xll.StatCorrelationCoeff( ST_Salary2005,ST_Salary2004)</f>
        <v>0.92889377604146783</v>
      </c>
      <c r="C10" s="27">
        <v>1</v>
      </c>
      <c r="D10" s="27"/>
      <c r="E10" s="27"/>
      <c r="F10" s="27"/>
      <c r="G10" s="27"/>
      <c r="H10" s="27"/>
      <c r="I10" s="27"/>
    </row>
    <row r="11" spans="1:9" x14ac:dyDescent="0.25">
      <c r="A11" s="24" t="s">
        <v>32</v>
      </c>
      <c r="B11" s="27">
        <f>_xll.StatCorrelationCoeff( ST_Salary2006,ST_Salary2004)</f>
        <v>0.83024189361962353</v>
      </c>
      <c r="C11" s="27">
        <f>_xll.StatCorrelationCoeff( ST_Salary2006,ST_Salary2005)</f>
        <v>0.88878990348211406</v>
      </c>
      <c r="D11" s="27">
        <v>1</v>
      </c>
      <c r="E11" s="27"/>
      <c r="F11" s="27"/>
      <c r="G11" s="27"/>
      <c r="H11" s="27"/>
      <c r="I11" s="27"/>
    </row>
    <row r="12" spans="1:9" x14ac:dyDescent="0.25">
      <c r="A12" s="24" t="s">
        <v>33</v>
      </c>
      <c r="B12" s="27">
        <f>_xll.StatCorrelationCoeff( ST_Salary2007,ST_Salary2004)</f>
        <v>0.84995575144011837</v>
      </c>
      <c r="C12" s="27">
        <f>_xll.StatCorrelationCoeff( ST_Salary2007,ST_Salary2005)</f>
        <v>0.88158334294497587</v>
      </c>
      <c r="D12" s="27">
        <f>_xll.StatCorrelationCoeff( ST_Salary2007,ST_Salary2006)</f>
        <v>0.87604753897577192</v>
      </c>
      <c r="E12" s="27">
        <v>1</v>
      </c>
      <c r="F12" s="27"/>
      <c r="G12" s="27"/>
      <c r="H12" s="27"/>
      <c r="I12" s="27"/>
    </row>
    <row r="13" spans="1:9" x14ac:dyDescent="0.25">
      <c r="A13" s="24" t="s">
        <v>34</v>
      </c>
      <c r="B13" s="27">
        <f>_xll.StatCorrelationCoeff( ST_Salary2008,ST_Salary2004)</f>
        <v>0.71733792181228062</v>
      </c>
      <c r="C13" s="27">
        <f>_xll.StatCorrelationCoeff( ST_Salary2008,ST_Salary2005)</f>
        <v>0.72765605767641017</v>
      </c>
      <c r="D13" s="27">
        <f>_xll.StatCorrelationCoeff( ST_Salary2008,ST_Salary2006)</f>
        <v>0.81284141160055667</v>
      </c>
      <c r="E13" s="27">
        <f>_xll.StatCorrelationCoeff( ST_Salary2008,ST_Salary2007)</f>
        <v>0.90278982088948911</v>
      </c>
      <c r="F13" s="27">
        <v>1</v>
      </c>
      <c r="G13" s="27"/>
      <c r="H13" s="27"/>
      <c r="I13" s="27"/>
    </row>
    <row r="14" spans="1:9" x14ac:dyDescent="0.25">
      <c r="A14" s="24" t="s">
        <v>35</v>
      </c>
      <c r="B14" s="27">
        <f>_xll.StatCorrelationCoeff( ST_Salary2009,ST_Salary2004)</f>
        <v>0.80375786947392058</v>
      </c>
      <c r="C14" s="27">
        <f>_xll.StatCorrelationCoeff( ST_Salary2009,ST_Salary2005)</f>
        <v>0.79646932525490644</v>
      </c>
      <c r="D14" s="27">
        <f>_xll.StatCorrelationCoeff( ST_Salary2009,ST_Salary2006)</f>
        <v>0.80972485685589557</v>
      </c>
      <c r="E14" s="27">
        <f>_xll.StatCorrelationCoeff( ST_Salary2009,ST_Salary2007)</f>
        <v>0.8778700594101142</v>
      </c>
      <c r="F14" s="27">
        <f>_xll.StatCorrelationCoeff( ST_Salary2009,ST_Salary2008)</f>
        <v>0.91004634437693599</v>
      </c>
      <c r="G14" s="27">
        <v>1</v>
      </c>
      <c r="H14" s="27"/>
      <c r="I14" s="27"/>
    </row>
    <row r="15" spans="1:9" x14ac:dyDescent="0.25">
      <c r="A15" s="24" t="s">
        <v>47</v>
      </c>
      <c r="B15" s="27">
        <f>_xll.StatCorrelationCoeff( ST_Salary2010,ST_Salary2004)</f>
        <v>0.82164804102609967</v>
      </c>
      <c r="C15" s="27">
        <f>_xll.StatCorrelationCoeff( ST_Salary2010,ST_Salary2005)</f>
        <v>0.83616505635293492</v>
      </c>
      <c r="D15" s="27">
        <f>_xll.StatCorrelationCoeff( ST_Salary2010,ST_Salary2006)</f>
        <v>0.7879365622781519</v>
      </c>
      <c r="E15" s="27">
        <f>_xll.StatCorrelationCoeff( ST_Salary2010,ST_Salary2007)</f>
        <v>0.85333184889164249</v>
      </c>
      <c r="F15" s="27">
        <f>_xll.StatCorrelationCoeff( ST_Salary2010,ST_Salary2008)</f>
        <v>0.81472963303291468</v>
      </c>
      <c r="G15" s="27">
        <f>_xll.StatCorrelationCoeff( ST_Salary2010,ST_Salary2009)</f>
        <v>0.91462841152468</v>
      </c>
      <c r="H15" s="27">
        <v>1</v>
      </c>
      <c r="I15" s="27"/>
    </row>
    <row r="16" spans="1:9" x14ac:dyDescent="0.25">
      <c r="A16" s="24" t="s">
        <v>48</v>
      </c>
      <c r="B16" s="27">
        <f>_xll.StatCorrelationCoeff( ST_Salary2011,ST_Salary2004)</f>
        <v>0.80269798124497638</v>
      </c>
      <c r="C16" s="27">
        <f>_xll.StatCorrelationCoeff( ST_Salary2011,ST_Salary2005)</f>
        <v>0.77105356958773119</v>
      </c>
      <c r="D16" s="27">
        <f>_xll.StatCorrelationCoeff( ST_Salary2011,ST_Salary2006)</f>
        <v>0.73512169191303645</v>
      </c>
      <c r="E16" s="27">
        <f>_xll.StatCorrelationCoeff( ST_Salary2011,ST_Salary2007)</f>
        <v>0.76431388348700102</v>
      </c>
      <c r="F16" s="27">
        <f>_xll.StatCorrelationCoeff( ST_Salary2011,ST_Salary2008)</f>
        <v>0.70984265295322824</v>
      </c>
      <c r="G16" s="27">
        <f>_xll.StatCorrelationCoeff( ST_Salary2011,ST_Salary2009)</f>
        <v>0.75705259059543251</v>
      </c>
      <c r="H16" s="27">
        <f>_xll.StatCorrelationCoeff( ST_Salary2011,ST_Salary2010)</f>
        <v>0.89303659822562576</v>
      </c>
      <c r="I16" s="27">
        <v>1</v>
      </c>
    </row>
  </sheetData>
  <pageMargins left="0.7" right="0.7" top="0.75" bottom="0.75" header="0.3" footer="0.3"/>
  <pageSetup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showGridLines="0" workbookViewId="0">
      <selection activeCell="A6" sqref="A6"/>
    </sheetView>
  </sheetViews>
  <sheetFormatPr defaultColWidth="12.7109375" defaultRowHeight="15" x14ac:dyDescent="0.25"/>
  <cols>
    <col min="1" max="1" width="20.5703125" bestFit="1" customWidth="1"/>
    <col min="2" max="2" width="22.28515625" bestFit="1" customWidth="1"/>
    <col min="7" max="8" width="12.7109375" customWidth="1"/>
    <col min="13" max="14" width="12.7109375" customWidth="1"/>
    <col min="19" max="20" width="12.7109375" customWidth="1"/>
  </cols>
  <sheetData>
    <row r="1" spans="1:2" s="14" customFormat="1" ht="18.75" x14ac:dyDescent="0.3">
      <c r="A1" s="20" t="s">
        <v>175</v>
      </c>
      <c r="B1" s="18"/>
    </row>
    <row r="2" spans="1:2" s="14" customFormat="1" ht="11.25" x14ac:dyDescent="0.2">
      <c r="A2" s="16" t="s">
        <v>176</v>
      </c>
      <c r="B2" s="18" t="s">
        <v>185</v>
      </c>
    </row>
    <row r="3" spans="1:2" s="14" customFormat="1" ht="11.25" x14ac:dyDescent="0.2">
      <c r="A3" s="16" t="s">
        <v>178</v>
      </c>
      <c r="B3" s="18" t="s">
        <v>179</v>
      </c>
    </row>
    <row r="4" spans="1:2" s="14" customFormat="1" ht="11.25" x14ac:dyDescent="0.2">
      <c r="A4" s="16" t="s">
        <v>180</v>
      </c>
      <c r="B4" s="18" t="s">
        <v>181</v>
      </c>
    </row>
    <row r="5" spans="1:2" s="15" customFormat="1" ht="11.25" x14ac:dyDescent="0.2">
      <c r="A5" s="17" t="s">
        <v>182</v>
      </c>
      <c r="B5" s="19" t="s">
        <v>183</v>
      </c>
    </row>
    <row r="24" spans="1:20" x14ac:dyDescent="0.25">
      <c r="A24" s="28" t="s">
        <v>186</v>
      </c>
      <c r="B24" s="29">
        <f>_xll.StatCorrelationCoeff(ST_Salary2004,ST_Wins2004)</f>
        <v>0.6874789721788046</v>
      </c>
      <c r="G24" s="28" t="s">
        <v>186</v>
      </c>
      <c r="H24" s="29">
        <f>_xll.StatCorrelationCoeff([0]!ST_Salary2005,[0]!ST_Wins2005)</f>
        <v>0.5966009981227407</v>
      </c>
      <c r="M24" s="28" t="s">
        <v>186</v>
      </c>
      <c r="N24" s="29">
        <f>_xll.StatCorrelationCoeff([0]!ST_Salary2006,[0]!ST_Wins2006)</f>
        <v>0.61635326083636988</v>
      </c>
      <c r="S24" s="28" t="s">
        <v>186</v>
      </c>
      <c r="T24" s="29">
        <f>_xll.StatCorrelationCoeff([0]!ST_Salary2007,[0]!ST_Wins2007)</f>
        <v>0.52903023267205873</v>
      </c>
    </row>
    <row r="43" spans="1:20" x14ac:dyDescent="0.25">
      <c r="A43" s="28" t="s">
        <v>186</v>
      </c>
      <c r="B43" s="29">
        <f>_xll.StatCorrelationCoeff([0]!ST_Salary2008,[0]!ST_Wins2008)</f>
        <v>0.33088520985582642</v>
      </c>
      <c r="G43" s="28" t="s">
        <v>186</v>
      </c>
      <c r="H43" s="29">
        <f>_xll.StatCorrelationCoeff([0]!ST_Salary2009,[0]!ST_Wins2009)</f>
        <v>0.47867163510167043</v>
      </c>
      <c r="M43" s="28" t="s">
        <v>186</v>
      </c>
      <c r="N43" s="29">
        <f>_xll.StatCorrelationCoeff([0]!ST_Salary2010,[0]!ST_Wins2010)</f>
        <v>0.36710911447769135</v>
      </c>
      <c r="S43" s="28" t="s">
        <v>186</v>
      </c>
      <c r="T43" s="29">
        <f>_xll.StatCorrelationCoeff([0]!ST_Salary2011,[0]!ST_Wins2011)</f>
        <v>0.35440495272465555</v>
      </c>
    </row>
  </sheetData>
  <pageMargins left="0.7" right="0.7" top="0.75" bottom="0.75" header="0.3" footer="0.3"/>
  <pageSetup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workbookViewId="0"/>
  </sheetViews>
  <sheetFormatPr defaultRowHeight="15" x14ac:dyDescent="0.25"/>
  <cols>
    <col min="1" max="1" width="13.140625" customWidth="1"/>
    <col min="2" max="2" width="21" customWidth="1"/>
    <col min="3" max="3" width="17.5703125" bestFit="1" customWidth="1"/>
  </cols>
  <sheetData>
    <row r="1" spans="1:4" x14ac:dyDescent="0.25">
      <c r="D1" t="s">
        <v>207</v>
      </c>
    </row>
    <row r="3" spans="1:4" x14ac:dyDescent="0.25">
      <c r="A3" s="39" t="s">
        <v>198</v>
      </c>
      <c r="B3" t="s">
        <v>197</v>
      </c>
    </row>
    <row r="4" spans="1:4" x14ac:dyDescent="0.25">
      <c r="A4" s="12" t="s">
        <v>193</v>
      </c>
      <c r="B4" s="1">
        <v>2038107.8181818181</v>
      </c>
    </row>
    <row r="5" spans="1:4" x14ac:dyDescent="0.25">
      <c r="A5" s="12" t="s">
        <v>194</v>
      </c>
      <c r="B5" s="1">
        <v>3121323.25</v>
      </c>
      <c r="D5" s="41">
        <f>B5/B4-1</f>
        <v>0.53148092664916557</v>
      </c>
    </row>
    <row r="6" spans="1:4" x14ac:dyDescent="0.25">
      <c r="A6" s="12" t="s">
        <v>199</v>
      </c>
      <c r="B6" s="1">
        <v>2326965.2666666666</v>
      </c>
    </row>
    <row r="8" spans="1:4" x14ac:dyDescent="0.25">
      <c r="A8" s="39" t="s">
        <v>198</v>
      </c>
      <c r="B8" t="s">
        <v>205</v>
      </c>
    </row>
    <row r="9" spans="1:4" x14ac:dyDescent="0.25">
      <c r="A9" s="12" t="s">
        <v>193</v>
      </c>
      <c r="B9" s="1">
        <v>2239733.3636363638</v>
      </c>
    </row>
    <row r="10" spans="1:4" x14ac:dyDescent="0.25">
      <c r="A10" s="12" t="s">
        <v>194</v>
      </c>
      <c r="B10" s="1">
        <v>3192958.625</v>
      </c>
      <c r="D10" s="41">
        <f>B10/B9-1</f>
        <v>0.42559765230983038</v>
      </c>
    </row>
    <row r="11" spans="1:4" x14ac:dyDescent="0.25">
      <c r="A11" s="12" t="s">
        <v>199</v>
      </c>
      <c r="B11" s="1">
        <v>2493926.7666666666</v>
      </c>
      <c r="D11" s="40"/>
    </row>
    <row r="13" spans="1:4" x14ac:dyDescent="0.25">
      <c r="A13" s="39" t="s">
        <v>198</v>
      </c>
      <c r="B13" t="s">
        <v>206</v>
      </c>
    </row>
    <row r="14" spans="1:4" x14ac:dyDescent="0.25">
      <c r="A14" s="12" t="s">
        <v>193</v>
      </c>
      <c r="B14" s="1">
        <v>2496298.7272727271</v>
      </c>
    </row>
    <row r="15" spans="1:4" x14ac:dyDescent="0.25">
      <c r="A15" s="12" t="s">
        <v>194</v>
      </c>
      <c r="B15" s="1">
        <v>3210956.5</v>
      </c>
      <c r="D15" s="41">
        <f>B15/B14-1</f>
        <v>0.2862869595371127</v>
      </c>
    </row>
    <row r="16" spans="1:4" x14ac:dyDescent="0.25">
      <c r="A16" s="12" t="s">
        <v>199</v>
      </c>
      <c r="B16" s="1">
        <v>2686874.1333333333</v>
      </c>
    </row>
    <row r="17" spans="1:4" x14ac:dyDescent="0.25">
      <c r="D17" s="40"/>
    </row>
    <row r="18" spans="1:4" x14ac:dyDescent="0.25">
      <c r="A18" s="39" t="s">
        <v>198</v>
      </c>
      <c r="B18" t="s">
        <v>204</v>
      </c>
    </row>
    <row r="19" spans="1:4" x14ac:dyDescent="0.25">
      <c r="A19" s="12" t="s">
        <v>193</v>
      </c>
      <c r="B19" s="1">
        <v>2592578.7272727271</v>
      </c>
    </row>
    <row r="20" spans="1:4" x14ac:dyDescent="0.25">
      <c r="A20" s="12" t="s">
        <v>194</v>
      </c>
      <c r="B20" s="1">
        <v>3524557.25</v>
      </c>
      <c r="D20" s="41">
        <f>B20/B19-1</f>
        <v>0.35947935270905784</v>
      </c>
    </row>
    <row r="21" spans="1:4" x14ac:dyDescent="0.25">
      <c r="A21" s="12" t="s">
        <v>199</v>
      </c>
      <c r="B21" s="1">
        <v>2841106.3333333335</v>
      </c>
    </row>
    <row r="23" spans="1:4" x14ac:dyDescent="0.25">
      <c r="A23" s="39" t="s">
        <v>198</v>
      </c>
      <c r="B23" t="s">
        <v>203</v>
      </c>
      <c r="D23" s="40"/>
    </row>
    <row r="24" spans="1:4" x14ac:dyDescent="0.25">
      <c r="A24" s="12" t="s">
        <v>193</v>
      </c>
      <c r="B24" s="1">
        <v>3039424.2272727271</v>
      </c>
    </row>
    <row r="25" spans="1:4" x14ac:dyDescent="0.25">
      <c r="A25" s="12" t="s">
        <v>194</v>
      </c>
      <c r="B25" s="1">
        <v>3400918.375</v>
      </c>
      <c r="D25" s="41">
        <f>B25/B24-1</f>
        <v>0.11893507476961895</v>
      </c>
    </row>
    <row r="26" spans="1:4" x14ac:dyDescent="0.25">
      <c r="A26" s="12" t="s">
        <v>199</v>
      </c>
      <c r="B26" s="1">
        <v>3135822.6666666665</v>
      </c>
    </row>
    <row r="28" spans="1:4" x14ac:dyDescent="0.25">
      <c r="A28" s="39" t="s">
        <v>198</v>
      </c>
      <c r="B28" t="s">
        <v>202</v>
      </c>
    </row>
    <row r="29" spans="1:4" x14ac:dyDescent="0.25">
      <c r="A29" s="12" t="s">
        <v>193</v>
      </c>
      <c r="B29" s="1">
        <v>3139784.5</v>
      </c>
      <c r="D29" s="40"/>
    </row>
    <row r="30" spans="1:4" x14ac:dyDescent="0.25">
      <c r="A30" s="12" t="s">
        <v>194</v>
      </c>
      <c r="B30" s="1">
        <v>3595523.125</v>
      </c>
      <c r="D30" s="41">
        <f>B30/B29-1</f>
        <v>0.14514965119421408</v>
      </c>
    </row>
    <row r="31" spans="1:4" x14ac:dyDescent="0.25">
      <c r="A31" s="12" t="s">
        <v>199</v>
      </c>
      <c r="B31" s="1">
        <v>3261314.8</v>
      </c>
    </row>
    <row r="33" spans="1:4" x14ac:dyDescent="0.25">
      <c r="A33" s="39" t="s">
        <v>198</v>
      </c>
      <c r="B33" t="s">
        <v>201</v>
      </c>
    </row>
    <row r="34" spans="1:4" x14ac:dyDescent="0.25">
      <c r="A34" s="12" t="s">
        <v>193</v>
      </c>
      <c r="B34" s="1">
        <v>3026813.9090909092</v>
      </c>
    </row>
    <row r="35" spans="1:4" x14ac:dyDescent="0.25">
      <c r="A35" s="12" t="s">
        <v>194</v>
      </c>
      <c r="B35" s="1">
        <v>4062035</v>
      </c>
      <c r="D35" s="41">
        <f>B35/B34-1</f>
        <v>0.34201676151938099</v>
      </c>
    </row>
    <row r="36" spans="1:4" x14ac:dyDescent="0.25">
      <c r="A36" s="12" t="s">
        <v>199</v>
      </c>
      <c r="B36" s="1">
        <v>3302872.8666666667</v>
      </c>
    </row>
    <row r="38" spans="1:4" x14ac:dyDescent="0.25">
      <c r="A38" s="39" t="s">
        <v>198</v>
      </c>
      <c r="B38" t="s">
        <v>200</v>
      </c>
    </row>
    <row r="39" spans="1:4" x14ac:dyDescent="0.25">
      <c r="A39" s="12" t="s">
        <v>193</v>
      </c>
      <c r="B39" s="1">
        <v>3093470.5</v>
      </c>
    </row>
    <row r="40" spans="1:4" x14ac:dyDescent="0.25">
      <c r="A40" s="12" t="s">
        <v>194</v>
      </c>
      <c r="B40" s="1">
        <v>3938663.125</v>
      </c>
      <c r="D40" s="41">
        <f>B40/B39-1</f>
        <v>0.27321825923344023</v>
      </c>
    </row>
    <row r="41" spans="1:4" x14ac:dyDescent="0.25">
      <c r="A41" s="12" t="s">
        <v>199</v>
      </c>
      <c r="B41" s="1">
        <v>3318855.2</v>
      </c>
    </row>
  </sheetData>
  <pageMargins left="0.7" right="0.7" top="0.75" bottom="0.75" header="0.3" footer="0.3"/>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20</vt:i4>
      </vt:variant>
    </vt:vector>
  </HeadingPairs>
  <TitlesOfParts>
    <vt:vector size="27" baseType="lpstr">
      <vt:lpstr>Source</vt:lpstr>
      <vt:lpstr>Data</vt:lpstr>
      <vt:lpstr>_STDS_DG35660776</vt:lpstr>
      <vt:lpstr>Correlation Wins</vt:lpstr>
      <vt:lpstr>Correlation Salaries</vt:lpstr>
      <vt:lpstr>Scatterplot</vt:lpstr>
      <vt:lpstr>Pivot Table</vt:lpstr>
      <vt:lpstr>ST_Salary2004</vt:lpstr>
      <vt:lpstr>ST_Salary2005</vt:lpstr>
      <vt:lpstr>ST_Salary2006</vt:lpstr>
      <vt:lpstr>ST_Salary2007</vt:lpstr>
      <vt:lpstr>ST_Salary2008</vt:lpstr>
      <vt:lpstr>ST_Salary2009</vt:lpstr>
      <vt:lpstr>ST_Salary2010</vt:lpstr>
      <vt:lpstr>ST_Salary2011</vt:lpstr>
      <vt:lpstr>ST_Team</vt:lpstr>
      <vt:lpstr>ST_Wins2004</vt:lpstr>
      <vt:lpstr>ST_Wins2005</vt:lpstr>
      <vt:lpstr>ST_Wins2006</vt:lpstr>
      <vt:lpstr>ST_Wins2007</vt:lpstr>
      <vt:lpstr>ST_Wins2008</vt:lpstr>
      <vt:lpstr>ST_Wins2009</vt:lpstr>
      <vt:lpstr>ST_Wins2010</vt:lpstr>
      <vt:lpstr>ST_Wins2011</vt:lpstr>
      <vt:lpstr>'Correlation Salaries'!StatToolsHeader</vt:lpstr>
      <vt:lpstr>'Correlation Wins'!StatToolsHeader</vt:lpstr>
      <vt:lpstr>Scatterplot!StatToolsHeader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Added 2010, 2011 data for DADM 5e</dc:description>
  <cp:lastModifiedBy>Chris</cp:lastModifiedBy>
  <dcterms:created xsi:type="dcterms:W3CDTF">2010-03-06T14:48:14Z</dcterms:created>
  <dcterms:modified xsi:type="dcterms:W3CDTF">2012-10-12T18:23:29Z</dcterms:modified>
</cp:coreProperties>
</file>